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sawara.nanao\七尾市役所\建設部\都市建築課\都市建築課\00 課共有\■ 地震関係\■00能登半島地震(060101)\■復興公営住宅■\■⑧家賃について\"/>
    </mc:Choice>
  </mc:AlternateContent>
  <xr:revisionPtr revIDLastSave="0" documentId="13_ncr:1_{07B0FF37-953D-4A0B-AE72-B3C0F2AB5AD5}" xr6:coauthVersionLast="47" xr6:coauthVersionMax="47" xr10:uidLastSave="{00000000-0000-0000-0000-000000000000}"/>
  <workbookProtection workbookAlgorithmName="SHA-512" workbookHashValue="kBpMdJNRL3rkPwDeuQmOBj3QBFjlLYsombQo8GHDm37uACs2jiNdAz18LRqqwmT4746q9snxmxx5j5XEpxXqCw==" workbookSaltValue="RVEHxszcS0yygV7hQyC9Ug==" workbookSpinCount="100000" lockStructure="1"/>
  <bookViews>
    <workbookView xWindow="-110" yWindow="-110" windowWidth="19420" windowHeight="10420" xr2:uid="{988C4460-6D85-46D2-8447-3ADF039C523D}"/>
  </bookViews>
  <sheets>
    <sheet name="家賃シミュレーションシート" sheetId="2" r:id="rId1"/>
    <sheet name="所得計算" sheetId="1" state="hidden" r:id="rId2"/>
    <sheet name="家賃計算" sheetId="3" state="hidden" r:id="rId3"/>
    <sheet name="近傍同種　木造都計外" sheetId="5" state="hidden" r:id="rId4"/>
    <sheet name="近傍同種　S造都計外" sheetId="6" state="hidden" r:id="rId5"/>
    <sheet name="近傍同種　RC造都計内" sheetId="7" state="hidden" r:id="rId6"/>
    <sheet name="地価" sheetId="4" state="hidden"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9" i="7" l="1"/>
  <c r="I11" i="7"/>
  <c r="D9" i="5"/>
  <c r="D25" i="7"/>
  <c r="D31" i="7"/>
  <c r="D30" i="7"/>
  <c r="D37" i="7"/>
  <c r="D9" i="7"/>
  <c r="F6" i="3"/>
  <c r="AI26" i="2"/>
  <c r="AI24" i="2"/>
  <c r="AI22" i="2"/>
  <c r="AI20" i="2"/>
  <c r="AI18" i="2"/>
  <c r="AI16" i="2"/>
  <c r="D52" i="6"/>
  <c r="D38" i="6"/>
  <c r="D50" i="6" l="1"/>
  <c r="D36" i="6"/>
  <c r="D59" i="7" l="1"/>
  <c r="D65" i="7" s="1"/>
  <c r="D45" i="7"/>
  <c r="D51" i="7" s="1"/>
  <c r="D26" i="7"/>
  <c r="D43" i="6"/>
  <c r="D49" i="6" s="1"/>
  <c r="D41" i="6"/>
  <c r="D48" i="6" s="1"/>
  <c r="D35" i="6"/>
  <c r="D29" i="6"/>
  <c r="D24" i="6"/>
  <c r="D23" i="6"/>
  <c r="D42" i="6" s="1"/>
  <c r="D9" i="6"/>
  <c r="D27" i="6" s="1"/>
  <c r="D49" i="5"/>
  <c r="D43" i="5"/>
  <c r="D29" i="5"/>
  <c r="D35" i="5" s="1"/>
  <c r="D27" i="5"/>
  <c r="D32" i="5" s="1"/>
  <c r="D24" i="5"/>
  <c r="D23" i="5"/>
  <c r="D41" i="5"/>
  <c r="D32" i="7" l="1"/>
  <c r="D34" i="7"/>
  <c r="D35" i="7"/>
  <c r="D36" i="7"/>
  <c r="D43" i="7"/>
  <c r="D57" i="7"/>
  <c r="D58" i="7"/>
  <c r="D44" i="7"/>
  <c r="D28" i="6"/>
  <c r="D30" i="6"/>
  <c r="D34" i="6"/>
  <c r="D33" i="6"/>
  <c r="D32" i="6"/>
  <c r="D44" i="6"/>
  <c r="D46" i="6"/>
  <c r="D47" i="6"/>
  <c r="D28" i="5"/>
  <c r="D46" i="5"/>
  <c r="D44" i="5"/>
  <c r="D50" i="5" s="1"/>
  <c r="D48" i="5"/>
  <c r="D47" i="5"/>
  <c r="D30" i="5"/>
  <c r="D36" i="5" s="1"/>
  <c r="D33" i="5"/>
  <c r="D34" i="5"/>
  <c r="D42" i="5"/>
  <c r="D48" i="7" l="1"/>
  <c r="D46" i="7"/>
  <c r="D33" i="7"/>
  <c r="D38" i="7"/>
  <c r="D50" i="7"/>
  <c r="D49" i="7"/>
  <c r="D64" i="7"/>
  <c r="D60" i="7"/>
  <c r="D62" i="7"/>
  <c r="D63" i="7"/>
  <c r="D45" i="6"/>
  <c r="D31" i="6"/>
  <c r="D31" i="5"/>
  <c r="D45" i="5"/>
  <c r="D66" i="7" l="1"/>
  <c r="D61" i="7"/>
  <c r="D67" i="7" s="1"/>
  <c r="D68" i="7" s="1"/>
  <c r="D52" i="7"/>
  <c r="D47" i="7"/>
  <c r="D39" i="7"/>
  <c r="D40" i="7"/>
  <c r="D37" i="6"/>
  <c r="D51" i="6"/>
  <c r="D51" i="5"/>
  <c r="D52" i="5" s="1"/>
  <c r="D37" i="5"/>
  <c r="D38" i="5" s="1"/>
  <c r="C6" i="3"/>
  <c r="AD63" i="2"/>
  <c r="AD64" i="2"/>
  <c r="AD65" i="2"/>
  <c r="AD66" i="2"/>
  <c r="AD67" i="2"/>
  <c r="AD68" i="2"/>
  <c r="AD62" i="2"/>
  <c r="AB37" i="2"/>
  <c r="AB41" i="2"/>
  <c r="AB40" i="2"/>
  <c r="AN26" i="2"/>
  <c r="AN24" i="2"/>
  <c r="AN22" i="2"/>
  <c r="AN20" i="2"/>
  <c r="AN18" i="2"/>
  <c r="AN16" i="2"/>
  <c r="AJ26" i="2"/>
  <c r="AJ24" i="2"/>
  <c r="AJ22" i="2"/>
  <c r="AJ20" i="2"/>
  <c r="AJ18" i="2"/>
  <c r="AJ16" i="2"/>
  <c r="AH26" i="2"/>
  <c r="AH24" i="2"/>
  <c r="AH22" i="2"/>
  <c r="AH20" i="2"/>
  <c r="AH18" i="2"/>
  <c r="AA58" i="2"/>
  <c r="AA56" i="2"/>
  <c r="AA54" i="2"/>
  <c r="AA50" i="2"/>
  <c r="AA48" i="2"/>
  <c r="AK26" i="2"/>
  <c r="AK24" i="2"/>
  <c r="D53" i="7" l="1"/>
  <c r="D54" i="7" s="1"/>
  <c r="AB39" i="2"/>
  <c r="AB43" i="2" s="1"/>
  <c r="R79" i="2" s="1"/>
  <c r="AB26" i="2" l="1"/>
  <c r="AB24" i="2"/>
  <c r="AB22" i="2"/>
  <c r="AB20" i="2"/>
  <c r="AB18" i="2"/>
  <c r="AB16" i="2"/>
  <c r="P61" i="1" l="1"/>
  <c r="P60" i="1"/>
  <c r="P59" i="1"/>
  <c r="P58" i="1"/>
  <c r="P57" i="1"/>
  <c r="P56" i="1"/>
  <c r="N61" i="1"/>
  <c r="N60" i="1"/>
  <c r="N59" i="1"/>
  <c r="N58" i="1"/>
  <c r="N57" i="1"/>
  <c r="N56" i="1"/>
  <c r="L61" i="1"/>
  <c r="L60" i="1"/>
  <c r="L59" i="1"/>
  <c r="L58" i="1"/>
  <c r="L57" i="1"/>
  <c r="L56" i="1"/>
  <c r="J61" i="1"/>
  <c r="J60" i="1"/>
  <c r="J59" i="1"/>
  <c r="J58" i="1"/>
  <c r="J57" i="1"/>
  <c r="J56" i="1"/>
  <c r="H61" i="1"/>
  <c r="H60" i="1"/>
  <c r="H59" i="1"/>
  <c r="H58" i="1"/>
  <c r="H57" i="1"/>
  <c r="H56" i="1"/>
  <c r="P70" i="1"/>
  <c r="P69" i="1"/>
  <c r="P68" i="1"/>
  <c r="P67" i="1"/>
  <c r="P66" i="1"/>
  <c r="P65" i="1"/>
  <c r="N70" i="1"/>
  <c r="N69" i="1"/>
  <c r="N68" i="1"/>
  <c r="N67" i="1"/>
  <c r="N66" i="1"/>
  <c r="N65" i="1"/>
  <c r="L70" i="1"/>
  <c r="L69" i="1"/>
  <c r="L68" i="1"/>
  <c r="L67" i="1"/>
  <c r="L66" i="1"/>
  <c r="L65" i="1"/>
  <c r="J70" i="1"/>
  <c r="J69" i="1"/>
  <c r="J68" i="1"/>
  <c r="J67" i="1"/>
  <c r="J66" i="1"/>
  <c r="J65" i="1"/>
  <c r="H70" i="1"/>
  <c r="H69" i="1"/>
  <c r="H68" i="1"/>
  <c r="H67" i="1"/>
  <c r="H66" i="1"/>
  <c r="H65" i="1"/>
  <c r="F70" i="1"/>
  <c r="F69" i="1"/>
  <c r="F68" i="1"/>
  <c r="F67" i="1"/>
  <c r="F66" i="1"/>
  <c r="F65" i="1"/>
  <c r="F61" i="1"/>
  <c r="F60" i="1"/>
  <c r="F59" i="1"/>
  <c r="F58" i="1"/>
  <c r="F57" i="1"/>
  <c r="F56" i="1"/>
  <c r="P41" i="1"/>
  <c r="P40" i="1"/>
  <c r="P39" i="1"/>
  <c r="P38" i="1"/>
  <c r="P37" i="1"/>
  <c r="P36" i="1"/>
  <c r="N41" i="1"/>
  <c r="N40" i="1"/>
  <c r="N39" i="1"/>
  <c r="N38" i="1"/>
  <c r="N37" i="1"/>
  <c r="N36" i="1"/>
  <c r="L41" i="1"/>
  <c r="L40" i="1"/>
  <c r="L39" i="1"/>
  <c r="L38" i="1"/>
  <c r="L37" i="1"/>
  <c r="L36" i="1"/>
  <c r="J41" i="1"/>
  <c r="J40" i="1"/>
  <c r="J39" i="1"/>
  <c r="J38" i="1"/>
  <c r="J37" i="1"/>
  <c r="J36" i="1"/>
  <c r="H41" i="1"/>
  <c r="H40" i="1"/>
  <c r="H39" i="1"/>
  <c r="H38" i="1"/>
  <c r="H37" i="1"/>
  <c r="H36" i="1"/>
  <c r="P50" i="1"/>
  <c r="P49" i="1"/>
  <c r="P48" i="1"/>
  <c r="P47" i="1"/>
  <c r="P46" i="1"/>
  <c r="P45" i="1"/>
  <c r="N50" i="1"/>
  <c r="N49" i="1"/>
  <c r="N48" i="1"/>
  <c r="N47" i="1"/>
  <c r="N46" i="1"/>
  <c r="N45" i="1"/>
  <c r="L50" i="1"/>
  <c r="L49" i="1"/>
  <c r="L48" i="1"/>
  <c r="L47" i="1"/>
  <c r="L46" i="1"/>
  <c r="L45" i="1"/>
  <c r="J50" i="1"/>
  <c r="J49" i="1"/>
  <c r="J48" i="1"/>
  <c r="J47" i="1"/>
  <c r="J46" i="1"/>
  <c r="J45" i="1"/>
  <c r="H50" i="1"/>
  <c r="H49" i="1"/>
  <c r="H48" i="1"/>
  <c r="H47" i="1"/>
  <c r="H46" i="1"/>
  <c r="H45" i="1"/>
  <c r="F50" i="1"/>
  <c r="F49" i="1"/>
  <c r="F48" i="1"/>
  <c r="F47" i="1"/>
  <c r="F46" i="1"/>
  <c r="F45" i="1"/>
  <c r="F41" i="1"/>
  <c r="F40" i="1"/>
  <c r="F39" i="1"/>
  <c r="F38" i="1"/>
  <c r="F37" i="1"/>
  <c r="F36" i="1"/>
  <c r="P30" i="1"/>
  <c r="P29" i="1"/>
  <c r="P28" i="1"/>
  <c r="P27" i="1"/>
  <c r="P26" i="1"/>
  <c r="P25" i="1"/>
  <c r="N30" i="1"/>
  <c r="N29" i="1"/>
  <c r="N28" i="1"/>
  <c r="N27" i="1"/>
  <c r="N26" i="1"/>
  <c r="N25" i="1"/>
  <c r="L30" i="1"/>
  <c r="L29" i="1"/>
  <c r="L28" i="1"/>
  <c r="L27" i="1"/>
  <c r="L26" i="1"/>
  <c r="L25" i="1"/>
  <c r="J30" i="1"/>
  <c r="J29" i="1"/>
  <c r="J28" i="1"/>
  <c r="J27" i="1"/>
  <c r="J26" i="1"/>
  <c r="J25" i="1"/>
  <c r="H30" i="1"/>
  <c r="H29" i="1"/>
  <c r="H28" i="1"/>
  <c r="H27" i="1"/>
  <c r="H26" i="1"/>
  <c r="H25" i="1"/>
  <c r="F30" i="1"/>
  <c r="F29" i="1"/>
  <c r="F28" i="1"/>
  <c r="F27" i="1"/>
  <c r="F26" i="1"/>
  <c r="F25" i="1"/>
  <c r="P21" i="1"/>
  <c r="P20" i="1"/>
  <c r="P19" i="1"/>
  <c r="P18" i="1"/>
  <c r="P17" i="1"/>
  <c r="P16" i="1"/>
  <c r="N21" i="1"/>
  <c r="N20" i="1"/>
  <c r="N19" i="1"/>
  <c r="N18" i="1"/>
  <c r="N17" i="1"/>
  <c r="N16" i="1"/>
  <c r="L21" i="1"/>
  <c r="L20" i="1"/>
  <c r="L19" i="1"/>
  <c r="L18" i="1"/>
  <c r="L17" i="1"/>
  <c r="L16" i="1"/>
  <c r="J21" i="1"/>
  <c r="J20" i="1"/>
  <c r="J19" i="1"/>
  <c r="J18" i="1"/>
  <c r="J17" i="1"/>
  <c r="J16" i="1"/>
  <c r="H21" i="1"/>
  <c r="H20" i="1"/>
  <c r="H19" i="1"/>
  <c r="H18" i="1"/>
  <c r="H17" i="1"/>
  <c r="H16" i="1"/>
  <c r="F21" i="1"/>
  <c r="F18" i="1"/>
  <c r="F19" i="1"/>
  <c r="F20" i="1"/>
  <c r="F17" i="1"/>
  <c r="F16" i="1"/>
  <c r="P10" i="1"/>
  <c r="P9" i="1"/>
  <c r="P8" i="1"/>
  <c r="P7" i="1"/>
  <c r="P6" i="1"/>
  <c r="P5" i="1"/>
  <c r="P4" i="1"/>
  <c r="N10" i="1"/>
  <c r="N9" i="1"/>
  <c r="N8" i="1"/>
  <c r="N7" i="1"/>
  <c r="N6" i="1"/>
  <c r="N5" i="1"/>
  <c r="N4" i="1"/>
  <c r="L10" i="1"/>
  <c r="L9" i="1"/>
  <c r="L8" i="1"/>
  <c r="L7" i="1"/>
  <c r="L6" i="1"/>
  <c r="L5" i="1"/>
  <c r="L4" i="1"/>
  <c r="J10" i="1"/>
  <c r="J9" i="1"/>
  <c r="J8" i="1"/>
  <c r="J7" i="1"/>
  <c r="J6" i="1"/>
  <c r="J5" i="1"/>
  <c r="J4" i="1"/>
  <c r="H10" i="1"/>
  <c r="H9" i="1"/>
  <c r="H8" i="1"/>
  <c r="H7" i="1"/>
  <c r="H6" i="1"/>
  <c r="H5" i="1"/>
  <c r="H4" i="1"/>
  <c r="K10" i="1"/>
  <c r="M10" i="1"/>
  <c r="G5" i="1"/>
  <c r="F10" i="1"/>
  <c r="F4" i="1"/>
  <c r="F6" i="1"/>
  <c r="F7" i="1"/>
  <c r="F8" i="1"/>
  <c r="F9" i="1"/>
  <c r="F5" i="1"/>
  <c r="G66" i="1"/>
  <c r="I66" i="1"/>
  <c r="K66" i="1"/>
  <c r="M66" i="1"/>
  <c r="O66" i="1"/>
  <c r="G67" i="1"/>
  <c r="I67" i="1"/>
  <c r="K67" i="1"/>
  <c r="M67" i="1"/>
  <c r="O67" i="1"/>
  <c r="G68" i="1"/>
  <c r="I68" i="1"/>
  <c r="K68" i="1"/>
  <c r="M68" i="1"/>
  <c r="O68" i="1"/>
  <c r="G69" i="1"/>
  <c r="I69" i="1"/>
  <c r="K69" i="1"/>
  <c r="M69" i="1"/>
  <c r="O69" i="1"/>
  <c r="G70" i="1"/>
  <c r="I70" i="1"/>
  <c r="K70" i="1"/>
  <c r="M70" i="1"/>
  <c r="O70" i="1"/>
  <c r="E70" i="1"/>
  <c r="E69" i="1"/>
  <c r="E68" i="1"/>
  <c r="E67" i="1"/>
  <c r="E66" i="1"/>
  <c r="G57" i="1"/>
  <c r="I57" i="1"/>
  <c r="K57" i="1"/>
  <c r="M57" i="1"/>
  <c r="O57" i="1"/>
  <c r="G58" i="1"/>
  <c r="I58" i="1"/>
  <c r="K58" i="1"/>
  <c r="M58" i="1"/>
  <c r="O58" i="1"/>
  <c r="G59" i="1"/>
  <c r="I59" i="1"/>
  <c r="K59" i="1"/>
  <c r="M59" i="1"/>
  <c r="O59" i="1"/>
  <c r="G60" i="1"/>
  <c r="I60" i="1"/>
  <c r="K60" i="1"/>
  <c r="M60" i="1"/>
  <c r="O60" i="1"/>
  <c r="G61" i="1"/>
  <c r="I61" i="1"/>
  <c r="K61" i="1"/>
  <c r="M61" i="1"/>
  <c r="O61" i="1"/>
  <c r="E61" i="1"/>
  <c r="E59" i="1"/>
  <c r="E60" i="1"/>
  <c r="E58" i="1"/>
  <c r="E57" i="1"/>
  <c r="G46" i="1"/>
  <c r="I46" i="1"/>
  <c r="K46" i="1"/>
  <c r="M46" i="1"/>
  <c r="O46" i="1"/>
  <c r="G47" i="1"/>
  <c r="I47" i="1"/>
  <c r="K47" i="1"/>
  <c r="M47" i="1"/>
  <c r="O47" i="1"/>
  <c r="G48" i="1"/>
  <c r="I48" i="1"/>
  <c r="K48" i="1"/>
  <c r="M48" i="1"/>
  <c r="O48" i="1"/>
  <c r="G49" i="1"/>
  <c r="I49" i="1"/>
  <c r="K49" i="1"/>
  <c r="M49" i="1"/>
  <c r="O49" i="1"/>
  <c r="G50" i="1"/>
  <c r="I50" i="1"/>
  <c r="K50" i="1"/>
  <c r="M50" i="1"/>
  <c r="O50" i="1"/>
  <c r="E50" i="1"/>
  <c r="E49" i="1"/>
  <c r="E48" i="1"/>
  <c r="E47" i="1"/>
  <c r="E46" i="1"/>
  <c r="G37" i="1"/>
  <c r="I37" i="1"/>
  <c r="K37" i="1"/>
  <c r="M37" i="1"/>
  <c r="O37" i="1"/>
  <c r="G38" i="1"/>
  <c r="I38" i="1"/>
  <c r="K38" i="1"/>
  <c r="M38" i="1"/>
  <c r="O38" i="1"/>
  <c r="G39" i="1"/>
  <c r="I39" i="1"/>
  <c r="K39" i="1"/>
  <c r="M39" i="1"/>
  <c r="O39" i="1"/>
  <c r="G40" i="1"/>
  <c r="I40" i="1"/>
  <c r="K40" i="1"/>
  <c r="M40" i="1"/>
  <c r="O40" i="1"/>
  <c r="G41" i="1"/>
  <c r="I41" i="1"/>
  <c r="K41" i="1"/>
  <c r="M41" i="1"/>
  <c r="O41" i="1"/>
  <c r="E41" i="1"/>
  <c r="E40" i="1"/>
  <c r="E39" i="1"/>
  <c r="E38" i="1"/>
  <c r="E37" i="1"/>
  <c r="E26" i="1"/>
  <c r="E30" i="1"/>
  <c r="E29" i="1"/>
  <c r="E28" i="1"/>
  <c r="E27" i="1"/>
  <c r="O30" i="1"/>
  <c r="M30" i="1"/>
  <c r="K30" i="1"/>
  <c r="I30" i="1"/>
  <c r="G30" i="1"/>
  <c r="O29" i="1"/>
  <c r="M29" i="1"/>
  <c r="K29" i="1"/>
  <c r="I29" i="1"/>
  <c r="G29" i="1"/>
  <c r="O28" i="1"/>
  <c r="M28" i="1"/>
  <c r="K28" i="1"/>
  <c r="I28" i="1"/>
  <c r="G28" i="1"/>
  <c r="O27" i="1"/>
  <c r="M27" i="1"/>
  <c r="K27" i="1"/>
  <c r="I27" i="1"/>
  <c r="G27" i="1"/>
  <c r="O26" i="1"/>
  <c r="M26" i="1"/>
  <c r="K26" i="1"/>
  <c r="I26" i="1"/>
  <c r="G26" i="1"/>
  <c r="G17" i="1"/>
  <c r="I17" i="1"/>
  <c r="K17" i="1"/>
  <c r="M17" i="1"/>
  <c r="O17" i="1"/>
  <c r="G18" i="1"/>
  <c r="I18" i="1"/>
  <c r="K18" i="1"/>
  <c r="M18" i="1"/>
  <c r="O18" i="1"/>
  <c r="G19" i="1"/>
  <c r="I19" i="1"/>
  <c r="K19" i="1"/>
  <c r="M19" i="1"/>
  <c r="O19" i="1"/>
  <c r="G20" i="1"/>
  <c r="I20" i="1"/>
  <c r="K20" i="1"/>
  <c r="M20" i="1"/>
  <c r="O20" i="1"/>
  <c r="G21" i="1"/>
  <c r="I21" i="1"/>
  <c r="K21" i="1"/>
  <c r="M21" i="1"/>
  <c r="O21" i="1"/>
  <c r="E21" i="1"/>
  <c r="E20" i="1"/>
  <c r="E19" i="1"/>
  <c r="E18" i="1"/>
  <c r="E17" i="1"/>
  <c r="I5" i="1"/>
  <c r="K5" i="1"/>
  <c r="M5" i="1"/>
  <c r="G6" i="1"/>
  <c r="I6" i="1"/>
  <c r="K6" i="1"/>
  <c r="M6" i="1"/>
  <c r="G7" i="1"/>
  <c r="I7" i="1"/>
  <c r="K7" i="1"/>
  <c r="M7" i="1"/>
  <c r="G8" i="1"/>
  <c r="I8" i="1"/>
  <c r="K8" i="1"/>
  <c r="M8" i="1"/>
  <c r="I9" i="1"/>
  <c r="K9" i="1"/>
  <c r="M9" i="1"/>
  <c r="G10" i="1"/>
  <c r="I10" i="1"/>
  <c r="E10" i="1"/>
  <c r="E9" i="1"/>
  <c r="E8" i="1"/>
  <c r="E7" i="1"/>
  <c r="E6" i="1"/>
  <c r="E5" i="1"/>
  <c r="AA26" i="2" l="1" a="1"/>
  <c r="AA26" i="2" s="1"/>
  <c r="Z22" i="2" a="1"/>
  <c r="Z22" i="2" s="1"/>
  <c r="AD22" i="2" s="1"/>
  <c r="AA22" i="2" a="1"/>
  <c r="AA22" i="2" s="1"/>
  <c r="AA24" i="2" a="1"/>
  <c r="AA24" i="2" s="1"/>
  <c r="AA20" i="2" a="1"/>
  <c r="AA20" i="2" s="1"/>
  <c r="AA18" i="2" a="1"/>
  <c r="AA18" i="2" s="1"/>
  <c r="AA16" i="2" a="1"/>
  <c r="AA16" i="2" s="1"/>
  <c r="Z24" i="2" a="1"/>
  <c r="Z24" i="2" s="1"/>
  <c r="AD24" i="2" s="1"/>
  <c r="Z20" i="2" a="1"/>
  <c r="Z20" i="2" s="1"/>
  <c r="AD20" i="2" s="1"/>
  <c r="Z16" i="2" a="1"/>
  <c r="Z16" i="2" s="1"/>
  <c r="AD16" i="2" s="1"/>
  <c r="G9" i="1"/>
  <c r="Z18" i="2" s="1" a="1"/>
  <c r="Z18" i="2" s="1"/>
  <c r="AD18" i="2" s="1"/>
  <c r="AE24" i="2" l="1"/>
  <c r="AE22" i="2"/>
  <c r="AE20" i="2"/>
  <c r="AE18" i="2"/>
  <c r="AE16" i="2"/>
  <c r="AG24" i="2"/>
  <c r="AL24" i="2" s="1"/>
  <c r="AG18" i="2"/>
  <c r="AL18" i="2" s="1"/>
  <c r="AG20" i="2"/>
  <c r="AK20" i="2" s="1"/>
  <c r="AG16" i="2"/>
  <c r="AL16" i="2" s="1"/>
  <c r="AG22" i="2"/>
  <c r="AL22" i="2" s="1"/>
  <c r="O5" i="1"/>
  <c r="Z26" i="2" s="1" a="1"/>
  <c r="Z26" i="2" s="1"/>
  <c r="AD26" i="2" s="1"/>
  <c r="O10" i="1"/>
  <c r="O6" i="1"/>
  <c r="O8" i="1"/>
  <c r="O7" i="1"/>
  <c r="O9" i="1"/>
  <c r="AK22" i="2" l="1"/>
  <c r="AL20" i="2"/>
  <c r="AK18" i="2"/>
  <c r="AK16" i="2"/>
  <c r="AE26" i="2"/>
  <c r="AG26" i="2"/>
  <c r="AL26" i="2" s="1"/>
  <c r="AA29" i="2" l="1"/>
  <c r="AA60" i="2"/>
  <c r="AA62" i="2" l="1"/>
  <c r="AH74" i="2" l="1"/>
  <c r="I85" i="2" s="1"/>
  <c r="R77" i="2"/>
  <c r="AH67" i="2"/>
  <c r="AH66" i="2"/>
  <c r="AH65" i="2"/>
  <c r="AH64" i="2"/>
  <c r="AH63" i="2"/>
  <c r="AH62" i="2"/>
  <c r="AH68" i="2"/>
  <c r="AH61" i="2"/>
  <c r="R78" i="2" l="1"/>
  <c r="AA64" i="2"/>
  <c r="C10" i="3" s="1"/>
  <c r="AO13" i="3" s="1"/>
  <c r="AH73" i="2"/>
  <c r="AH72" i="2"/>
  <c r="I83" i="2" l="1"/>
  <c r="AK13" i="3"/>
  <c r="I13" i="3"/>
  <c r="D86" i="2" s="1"/>
  <c r="K13" i="3"/>
  <c r="D88" i="2" s="1"/>
  <c r="J13" i="3"/>
  <c r="D87" i="2" s="1"/>
  <c r="AL13" i="3"/>
  <c r="AJ13" i="3"/>
  <c r="AR13" i="3"/>
  <c r="AI13" i="3"/>
  <c r="D13" i="3"/>
  <c r="D81" i="2" s="1"/>
  <c r="AH13" i="3"/>
  <c r="E13" i="3"/>
  <c r="D82" i="2" s="1"/>
  <c r="AC13" i="3"/>
  <c r="F13" i="3"/>
  <c r="D83" i="2" s="1"/>
  <c r="AB13" i="3"/>
  <c r="G13" i="3"/>
  <c r="D84" i="2" s="1"/>
  <c r="AA13" i="3"/>
  <c r="Q13" i="3"/>
  <c r="D94" i="2" s="1"/>
  <c r="Z13" i="3"/>
  <c r="P13" i="3"/>
  <c r="D93" i="2" s="1"/>
  <c r="Y13" i="3"/>
  <c r="T13" i="3"/>
  <c r="D97" i="2" s="1"/>
  <c r="AF13" i="3"/>
  <c r="S13" i="3"/>
  <c r="D96" i="2" s="1"/>
  <c r="X13" i="3"/>
  <c r="O13" i="3"/>
  <c r="D92" i="2" s="1"/>
  <c r="W13" i="3"/>
  <c r="N13" i="3"/>
  <c r="D91" i="2" s="1"/>
  <c r="AZ13" i="3"/>
  <c r="M13" i="3"/>
  <c r="D90" i="2" s="1"/>
  <c r="AY13" i="3"/>
  <c r="L13" i="3"/>
  <c r="D89" i="2" s="1"/>
  <c r="AX13" i="3"/>
  <c r="U13" i="3"/>
  <c r="D98" i="2" s="1"/>
  <c r="AW13" i="3"/>
  <c r="V13" i="3"/>
  <c r="D99" i="2" s="1"/>
  <c r="AV13" i="3"/>
  <c r="AN13" i="3"/>
  <c r="AT13" i="3"/>
  <c r="AM13" i="3"/>
  <c r="AS13" i="3"/>
  <c r="AP13" i="3"/>
  <c r="AU13" i="3"/>
  <c r="H13" i="3"/>
  <c r="D85" i="2" s="1"/>
  <c r="AG13" i="3"/>
  <c r="AQ13" i="3"/>
  <c r="C13" i="3"/>
  <c r="D80" i="2" s="1"/>
  <c r="G80" i="2" s="1"/>
  <c r="AE13" i="3"/>
  <c r="R13" i="3"/>
  <c r="D95" i="2" s="1"/>
  <c r="AD13" i="3"/>
  <c r="G81" i="2" l="1"/>
  <c r="G82" i="2" s="1"/>
  <c r="G83" i="2" s="1"/>
  <c r="G84" i="2" s="1"/>
  <c r="G85" i="2" s="1"/>
  <c r="G86" i="2" s="1"/>
  <c r="G87" i="2" s="1"/>
  <c r="G88" i="2" s="1"/>
  <c r="G89" i="2" s="1"/>
  <c r="G90" i="2" s="1"/>
  <c r="G91" i="2" s="1"/>
  <c r="G92" i="2" s="1"/>
  <c r="G93" i="2" s="1"/>
  <c r="G94" i="2" s="1"/>
  <c r="G95" i="2" s="1"/>
  <c r="G96" i="2" s="1"/>
  <c r="G97" i="2" s="1"/>
  <c r="G98" i="2" s="1"/>
  <c r="G99"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shibata</author>
  </authors>
  <commentList>
    <comment ref="AD14" authorId="0" shapeId="0" xr:uid="{642626C3-5CFF-42A0-BA97-1B4A9913907C}">
      <text>
        <r>
          <rPr>
            <b/>
            <sz val="9"/>
            <color indexed="81"/>
            <rFont val="MS P ゴシック"/>
            <family val="3"/>
            <charset val="128"/>
          </rPr>
          <t>このシートでは同居非扶養の場合が考慮できないものの、そもそも子ども・障害者等を有する者等の所得金額調整控除の対象は年収が850万円を超える者で市営住宅入居対象者の場合は当てはまらないことが多いため、未対応としています。</t>
        </r>
      </text>
    </comment>
    <comment ref="AI14" authorId="0" shapeId="0" xr:uid="{21320C27-AACD-4493-8D09-BE45F68109DE}">
      <text>
        <r>
          <rPr>
            <b/>
            <sz val="9"/>
            <color indexed="81"/>
            <rFont val="MS P ゴシック"/>
            <family val="3"/>
            <charset val="128"/>
          </rPr>
          <t>政令月収の控除額を計算する際の「障害者」や「特別障害者」は所得税法の定義を引用しています。
所得税法施行令第10条第1項の規定による障害者には、知的・精神・身体障害者のほか、戦傷病者や原爆被爆者、常に就床を要し、複雑な介護を要する者、障害者に準ずるものとして市長村長の認定を受けている者が含まれますが、このシートでは考慮できていません。</t>
        </r>
      </text>
    </comment>
    <comment ref="AB38" authorId="0" shapeId="0" xr:uid="{D47429E0-87E9-4FD5-92B9-FC6B8640055D}">
      <text>
        <r>
          <rPr>
            <b/>
            <sz val="9"/>
            <color indexed="81"/>
            <rFont val="MS P ゴシック"/>
            <family val="3"/>
            <charset val="128"/>
          </rPr>
          <t>復興公営住宅の入居者は市条例第6条第3項第4号の規定により裁量階層（基準額21.4万円）として扱われるものの、災害の発生の日から３年以降は同条第1項第2号イの規定により、基準額が15.8万円となることから、計算上は裁量階層に非該当として扱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<sst xmlns="http://schemas.openxmlformats.org/spreadsheetml/2006/main" count="1365" uniqueCount="567">
  <si>
    <t>令和2年分以降の給与所得計算</t>
    <rPh sb="0" eb="2">
      <t>レイワ</t>
    </rPh>
    <rPh sb="3" eb="5">
      <t>ネンブン</t>
    </rPh>
    <rPh sb="5" eb="7">
      <t>イコウ</t>
    </rPh>
    <rPh sb="8" eb="10">
      <t>キュウヨ</t>
    </rPh>
    <rPh sb="10" eb="12">
      <t>ショトク</t>
    </rPh>
    <rPh sb="12" eb="14">
      <t>ケイサン</t>
    </rPh>
    <phoneticPr fontId="3"/>
  </si>
  <si>
    <t>給与収入n</t>
    <phoneticPr fontId="3"/>
  </si>
  <si>
    <t>給与所得i</t>
    <phoneticPr fontId="3"/>
  </si>
  <si>
    <t>min</t>
    <phoneticPr fontId="3"/>
  </si>
  <si>
    <t>MAX</t>
    <phoneticPr fontId="3"/>
  </si>
  <si>
    <t>計算式</t>
    <rPh sb="0" eb="3">
      <t>ケイサンシキ</t>
    </rPh>
    <phoneticPr fontId="3"/>
  </si>
  <si>
    <t>n-55万</t>
    <phoneticPr fontId="3"/>
  </si>
  <si>
    <t>n*0.6+10万</t>
    <phoneticPr fontId="3"/>
  </si>
  <si>
    <t>n*0.7-8万</t>
    <rPh sb="7" eb="8">
      <t>マン</t>
    </rPh>
    <phoneticPr fontId="3"/>
  </si>
  <si>
    <t>n*0.8-44万</t>
    <phoneticPr fontId="3"/>
  </si>
  <si>
    <t>n*0.9-110万</t>
    <phoneticPr fontId="3"/>
  </si>
  <si>
    <t>n-195万</t>
    <phoneticPr fontId="3"/>
  </si>
  <si>
    <t>令和2年分以降の公的年金等に係る雑所得計算</t>
    <rPh sb="0" eb="2">
      <t>レイワ</t>
    </rPh>
    <rPh sb="3" eb="5">
      <t>ネンブン</t>
    </rPh>
    <rPh sb="5" eb="7">
      <t>イコウ</t>
    </rPh>
    <rPh sb="8" eb="10">
      <t>コウテキ</t>
    </rPh>
    <rPh sb="10" eb="12">
      <t>ネンキン</t>
    </rPh>
    <rPh sb="12" eb="13">
      <t>トウ</t>
    </rPh>
    <rPh sb="14" eb="15">
      <t>カカ</t>
    </rPh>
    <rPh sb="16" eb="19">
      <t>ザッショトク</t>
    </rPh>
    <rPh sb="19" eb="21">
      <t>ケイサン</t>
    </rPh>
    <phoneticPr fontId="3"/>
  </si>
  <si>
    <t>■65歳未満</t>
    <rPh sb="3" eb="4">
      <t>サイ</t>
    </rPh>
    <rPh sb="4" eb="6">
      <t>ミマン</t>
    </rPh>
    <phoneticPr fontId="3"/>
  </si>
  <si>
    <t>年金収入n</t>
    <rPh sb="0" eb="2">
      <t>ネンキン</t>
    </rPh>
    <phoneticPr fontId="3"/>
  </si>
  <si>
    <t>年金雑所得i</t>
    <rPh sb="0" eb="2">
      <t>ネンキン</t>
    </rPh>
    <rPh sb="2" eb="3">
      <t>ザツ</t>
    </rPh>
    <phoneticPr fontId="3"/>
  </si>
  <si>
    <t>n-60万</t>
    <rPh sb="4" eb="5">
      <t>マン</t>
    </rPh>
    <phoneticPr fontId="3"/>
  </si>
  <si>
    <t>n*0.75-27.5万</t>
    <rPh sb="11" eb="12">
      <t>マン</t>
    </rPh>
    <phoneticPr fontId="3"/>
  </si>
  <si>
    <t>n*0.85-68.5万</t>
    <rPh sb="11" eb="12">
      <t>マン</t>
    </rPh>
    <phoneticPr fontId="3"/>
  </si>
  <si>
    <t>n*0.95-145.5万</t>
    <rPh sb="12" eb="13">
      <t>マン</t>
    </rPh>
    <phoneticPr fontId="3"/>
  </si>
  <si>
    <t>n-195.5万</t>
    <rPh sb="7" eb="8">
      <t>マン</t>
    </rPh>
    <phoneticPr fontId="3"/>
  </si>
  <si>
    <t>■65歳以上</t>
    <rPh sb="3" eb="4">
      <t>サイ</t>
    </rPh>
    <rPh sb="4" eb="6">
      <t>イジョウ</t>
    </rPh>
    <phoneticPr fontId="3"/>
  </si>
  <si>
    <t>n-110万</t>
    <rPh sb="5" eb="6">
      <t>マン</t>
    </rPh>
    <phoneticPr fontId="3"/>
  </si>
  <si>
    <t>（公的年金等に係る雑所得以外の合計所得金額が1000万円以下）</t>
    <rPh sb="1" eb="3">
      <t>コウテキ</t>
    </rPh>
    <rPh sb="3" eb="5">
      <t>ネンキン</t>
    </rPh>
    <rPh sb="5" eb="6">
      <t>トウ</t>
    </rPh>
    <rPh sb="7" eb="8">
      <t>カカ</t>
    </rPh>
    <rPh sb="9" eb="12">
      <t>ザッショトク</t>
    </rPh>
    <rPh sb="12" eb="14">
      <t>イガイ</t>
    </rPh>
    <rPh sb="15" eb="17">
      <t>ゴウケイ</t>
    </rPh>
    <rPh sb="17" eb="19">
      <t>ショトク</t>
    </rPh>
    <rPh sb="19" eb="21">
      <t>キンガク</t>
    </rPh>
    <rPh sb="26" eb="30">
      <t>マンエンイカ</t>
    </rPh>
    <phoneticPr fontId="3"/>
  </si>
  <si>
    <t>（公的年金等に係る雑所得以外の合計所得金額が1000万円超2000万円以下）</t>
    <rPh sb="1" eb="3">
      <t>コウテキ</t>
    </rPh>
    <rPh sb="3" eb="5">
      <t>ネンキン</t>
    </rPh>
    <rPh sb="5" eb="6">
      <t>トウ</t>
    </rPh>
    <rPh sb="7" eb="8">
      <t>カカ</t>
    </rPh>
    <rPh sb="9" eb="12">
      <t>ザッショトク</t>
    </rPh>
    <rPh sb="12" eb="14">
      <t>イガイ</t>
    </rPh>
    <rPh sb="15" eb="17">
      <t>ゴウケイ</t>
    </rPh>
    <rPh sb="17" eb="19">
      <t>ショトク</t>
    </rPh>
    <rPh sb="19" eb="21">
      <t>キンガク</t>
    </rPh>
    <rPh sb="27" eb="29">
      <t>エンチョウ</t>
    </rPh>
    <rPh sb="33" eb="35">
      <t>マンエン</t>
    </rPh>
    <rPh sb="35" eb="37">
      <t>イカ</t>
    </rPh>
    <phoneticPr fontId="3"/>
  </si>
  <si>
    <t>n-50万</t>
    <rPh sb="4" eb="5">
      <t>マン</t>
    </rPh>
    <phoneticPr fontId="3"/>
  </si>
  <si>
    <t>n*0.75-17.5万</t>
    <rPh sb="11" eb="12">
      <t>マン</t>
    </rPh>
    <phoneticPr fontId="3"/>
  </si>
  <si>
    <t>n*0.85-58.5万</t>
    <rPh sb="11" eb="12">
      <t>マン</t>
    </rPh>
    <phoneticPr fontId="3"/>
  </si>
  <si>
    <t>n*0.95-135.5万</t>
    <rPh sb="12" eb="13">
      <t>マン</t>
    </rPh>
    <phoneticPr fontId="3"/>
  </si>
  <si>
    <t>n-185.5万</t>
    <rPh sb="7" eb="8">
      <t>マン</t>
    </rPh>
    <phoneticPr fontId="3"/>
  </si>
  <si>
    <t>n-100万</t>
    <rPh sb="5" eb="6">
      <t>マン</t>
    </rPh>
    <phoneticPr fontId="3"/>
  </si>
  <si>
    <t>（公的年金等に係る雑所得以外の合計所得金額が2000万円超）</t>
    <rPh sb="1" eb="3">
      <t>コウテキ</t>
    </rPh>
    <rPh sb="3" eb="5">
      <t>ネンキン</t>
    </rPh>
    <rPh sb="5" eb="6">
      <t>トウ</t>
    </rPh>
    <rPh sb="7" eb="8">
      <t>カカ</t>
    </rPh>
    <rPh sb="9" eb="12">
      <t>ザッショトク</t>
    </rPh>
    <rPh sb="12" eb="14">
      <t>イガイ</t>
    </rPh>
    <rPh sb="15" eb="17">
      <t>ゴウケイ</t>
    </rPh>
    <rPh sb="17" eb="19">
      <t>ショトク</t>
    </rPh>
    <rPh sb="19" eb="21">
      <t>キンガク</t>
    </rPh>
    <rPh sb="27" eb="29">
      <t>エンチョウ</t>
    </rPh>
    <phoneticPr fontId="3"/>
  </si>
  <si>
    <t>n-40万</t>
    <rPh sb="4" eb="5">
      <t>マン</t>
    </rPh>
    <phoneticPr fontId="3"/>
  </si>
  <si>
    <t>n*0.75-7.5万</t>
    <rPh sb="10" eb="11">
      <t>マン</t>
    </rPh>
    <phoneticPr fontId="3"/>
  </si>
  <si>
    <t>n*0.85-48.5万</t>
    <rPh sb="11" eb="12">
      <t>マン</t>
    </rPh>
    <phoneticPr fontId="3"/>
  </si>
  <si>
    <t>n*0.95-125.5万</t>
    <rPh sb="12" eb="13">
      <t>マン</t>
    </rPh>
    <phoneticPr fontId="3"/>
  </si>
  <si>
    <t>n-175.5万</t>
    <rPh sb="7" eb="8">
      <t>マン</t>
    </rPh>
    <phoneticPr fontId="3"/>
  </si>
  <si>
    <t>n-90万</t>
    <rPh sb="4" eb="5">
      <t>マン</t>
    </rPh>
    <phoneticPr fontId="3"/>
  </si>
  <si>
    <t>年齢</t>
    <rPh sb="0" eb="2">
      <t>ネンレイ</t>
    </rPh>
    <phoneticPr fontId="3"/>
  </si>
  <si>
    <r>
      <rPr>
        <b/>
        <sz val="12"/>
        <rFont val="Yu Gothic UI"/>
        <family val="3"/>
        <charset val="128"/>
      </rPr>
      <t>給与等</t>
    </r>
    <r>
      <rPr>
        <sz val="12"/>
        <rFont val="Yu Gothic UI"/>
        <family val="3"/>
        <charset val="128"/>
      </rPr>
      <t>の
年間収入金額</t>
    </r>
    <phoneticPr fontId="3"/>
  </si>
  <si>
    <r>
      <rPr>
        <b/>
        <sz val="12"/>
        <rFont val="Yu Gothic UI"/>
        <family val="3"/>
        <charset val="128"/>
      </rPr>
      <t>公的年金等</t>
    </r>
    <r>
      <rPr>
        <sz val="12"/>
        <rFont val="Yu Gothic UI"/>
        <family val="3"/>
        <charset val="128"/>
      </rPr>
      <t>の
年間収入金額</t>
    </r>
    <rPh sb="0" eb="5">
      <t>コウテキネンキントウ</t>
    </rPh>
    <rPh sb="9" eb="13">
      <t>シュウニュウキンガク</t>
    </rPh>
    <phoneticPr fontId="3"/>
  </si>
  <si>
    <r>
      <t>年間の</t>
    </r>
    <r>
      <rPr>
        <b/>
        <sz val="12"/>
        <rFont val="Yu Gothic UI"/>
        <family val="3"/>
        <charset val="128"/>
      </rPr>
      <t>事業所得</t>
    </r>
    <r>
      <rPr>
        <sz val="12"/>
        <rFont val="Yu Gothic UI"/>
        <family val="3"/>
        <charset val="128"/>
      </rPr>
      <t xml:space="preserve">
（年収－経費）</t>
    </r>
    <rPh sb="3" eb="5">
      <t>ジギョウ</t>
    </rPh>
    <phoneticPr fontId="3"/>
  </si>
  <si>
    <t>2人目</t>
    <rPh sb="1" eb="3">
      <t>ニンメ</t>
    </rPh>
    <phoneticPr fontId="3"/>
  </si>
  <si>
    <t>3人目</t>
    <rPh sb="1" eb="3">
      <t>ニンメ</t>
    </rPh>
    <phoneticPr fontId="3"/>
  </si>
  <si>
    <t>4人目</t>
    <rPh sb="1" eb="3">
      <t>ニンメ</t>
    </rPh>
    <phoneticPr fontId="3"/>
  </si>
  <si>
    <t>5人目</t>
    <rPh sb="1" eb="3">
      <t>ニンメ</t>
    </rPh>
    <phoneticPr fontId="3"/>
  </si>
  <si>
    <t>6人目</t>
    <rPh sb="1" eb="3">
      <t>ニンメ</t>
    </rPh>
    <phoneticPr fontId="3"/>
  </si>
  <si>
    <t>1人目
(世帯主)</t>
    <rPh sb="1" eb="3">
      <t>ニンメ</t>
    </rPh>
    <rPh sb="5" eb="8">
      <t>セタイヌシ</t>
    </rPh>
    <phoneticPr fontId="3"/>
  </si>
  <si>
    <t>入居者・
同居者</t>
    <rPh sb="0" eb="3">
      <t>ニュウキョシャ</t>
    </rPh>
    <rPh sb="5" eb="8">
      <t>ドウキョシャ</t>
    </rPh>
    <phoneticPr fontId="3"/>
  </si>
  <si>
    <t>1人目</t>
    <rPh sb="1" eb="3">
      <t>ニンメ</t>
    </rPh>
    <phoneticPr fontId="3"/>
  </si>
  <si>
    <t>公的年金等に係る雑所得</t>
    <phoneticPr fontId="3"/>
  </si>
  <si>
    <t>給与所得</t>
    <rPh sb="0" eb="4">
      <t>キュウヨショトク</t>
    </rPh>
    <phoneticPr fontId="3"/>
  </si>
  <si>
    <t>事業所得</t>
    <phoneticPr fontId="3"/>
  </si>
  <si>
    <t>人</t>
    <rPh sb="0" eb="1">
      <t>ニン</t>
    </rPh>
    <phoneticPr fontId="3"/>
  </si>
  <si>
    <t>基礎控除振替</t>
    <rPh sb="0" eb="4">
      <t>キソコウジョ</t>
    </rPh>
    <rPh sb="4" eb="6">
      <t>フリカエ</t>
    </rPh>
    <phoneticPr fontId="3"/>
  </si>
  <si>
    <t>同居親族控除</t>
    <rPh sb="0" eb="4">
      <t>ドウキョシンゾク</t>
    </rPh>
    <rPh sb="4" eb="6">
      <t>コウジョ</t>
    </rPh>
    <phoneticPr fontId="3"/>
  </si>
  <si>
    <t>歳</t>
    <rPh sb="0" eb="1">
      <t>サイ</t>
    </rPh>
    <phoneticPr fontId="3"/>
  </si>
  <si>
    <t>ひとり親</t>
    <rPh sb="3" eb="4">
      <t>オヤ</t>
    </rPh>
    <phoneticPr fontId="3"/>
  </si>
  <si>
    <t>寡婦</t>
    <rPh sb="0" eb="2">
      <t>カフ</t>
    </rPh>
    <phoneticPr fontId="3"/>
  </si>
  <si>
    <t>ひとり親
控除</t>
    <rPh sb="3" eb="4">
      <t>オヤ</t>
    </rPh>
    <rPh sb="5" eb="7">
      <t>コウジョ</t>
    </rPh>
    <phoneticPr fontId="3"/>
  </si>
  <si>
    <t>寡婦
控除</t>
    <rPh sb="0" eb="2">
      <t>カフ</t>
    </rPh>
    <rPh sb="3" eb="5">
      <t>コウジョ</t>
    </rPh>
    <phoneticPr fontId="3"/>
  </si>
  <si>
    <t>障がい者
控除</t>
    <rPh sb="0" eb="1">
      <t>ショウ</t>
    </rPh>
    <rPh sb="3" eb="4">
      <t>シャ</t>
    </rPh>
    <rPh sb="5" eb="7">
      <t>コウジョ</t>
    </rPh>
    <phoneticPr fontId="3"/>
  </si>
  <si>
    <t>特別障がい
者控除</t>
    <rPh sb="0" eb="2">
      <t>トクベツ</t>
    </rPh>
    <rPh sb="2" eb="3">
      <t>ショウ</t>
    </rPh>
    <rPh sb="6" eb="7">
      <t>シャ</t>
    </rPh>
    <rPh sb="7" eb="9">
      <t>コウジョ</t>
    </rPh>
    <phoneticPr fontId="3"/>
  </si>
  <si>
    <t>円</t>
    <rPh sb="0" eb="1">
      <t>エン</t>
    </rPh>
    <phoneticPr fontId="3"/>
  </si>
  <si>
    <t>人</t>
    <rPh sb="0" eb="1">
      <t>ニン</t>
    </rPh>
    <phoneticPr fontId="3"/>
  </si>
  <si>
    <t>年間の収入等</t>
    <rPh sb="0" eb="2">
      <t>ネンカン</t>
    </rPh>
    <rPh sb="3" eb="5">
      <t>シュウニュウ</t>
    </rPh>
    <rPh sb="5" eb="6">
      <t>トウ</t>
    </rPh>
    <phoneticPr fontId="3"/>
  </si>
  <si>
    <t>別居扶養親族控除</t>
    <rPh sb="0" eb="2">
      <t>ベッキョ</t>
    </rPh>
    <rPh sb="2" eb="4">
      <t>フヨウ</t>
    </rPh>
    <rPh sb="4" eb="6">
      <t>シンゾク</t>
    </rPh>
    <rPh sb="6" eb="8">
      <t>コウジョ</t>
    </rPh>
    <phoneticPr fontId="3"/>
  </si>
  <si>
    <t>老人扶養控除</t>
    <rPh sb="0" eb="2">
      <t>ロウジン</t>
    </rPh>
    <rPh sb="2" eb="4">
      <t>フヨウ</t>
    </rPh>
    <rPh sb="4" eb="6">
      <t>コウジョ</t>
    </rPh>
    <phoneticPr fontId="3"/>
  </si>
  <si>
    <t>扶養親族控除</t>
    <rPh sb="0" eb="4">
      <t>フヨウシンゾク</t>
    </rPh>
    <rPh sb="4" eb="6">
      <t>コウジョ</t>
    </rPh>
    <phoneticPr fontId="3"/>
  </si>
  <si>
    <t>公住令§1③イ</t>
    <rPh sb="0" eb="2">
      <t>コウジュウ</t>
    </rPh>
    <rPh sb="2" eb="3">
      <t>レイ</t>
    </rPh>
    <phoneticPr fontId="2"/>
  </si>
  <si>
    <t>公住令§1③ロ</t>
    <rPh sb="0" eb="2">
      <t>コウジュウ</t>
    </rPh>
    <rPh sb="2" eb="3">
      <t>レイ</t>
    </rPh>
    <phoneticPr fontId="2"/>
  </si>
  <si>
    <t>公住令§1③ハ</t>
    <rPh sb="0" eb="2">
      <t>コウジュウ</t>
    </rPh>
    <rPh sb="2" eb="3">
      <t>レイ</t>
    </rPh>
    <phoneticPr fontId="2"/>
  </si>
  <si>
    <t>公住令§1③ニ</t>
    <rPh sb="0" eb="2">
      <t>コウジュウ</t>
    </rPh>
    <rPh sb="2" eb="3">
      <t>レイ</t>
    </rPh>
    <phoneticPr fontId="2"/>
  </si>
  <si>
    <t>公住令§1③ホ</t>
    <rPh sb="0" eb="2">
      <t>コウジュウ</t>
    </rPh>
    <rPh sb="2" eb="3">
      <t>レイ</t>
    </rPh>
    <phoneticPr fontId="2"/>
  </si>
  <si>
    <t>公住令§1③ホ括弧</t>
    <rPh sb="0" eb="2">
      <t>コウジュウ</t>
    </rPh>
    <rPh sb="2" eb="3">
      <t>レイ</t>
    </rPh>
    <rPh sb="7" eb="9">
      <t>カッコ</t>
    </rPh>
    <phoneticPr fontId="2"/>
  </si>
  <si>
    <t>障がい者控除(別居)</t>
    <rPh sb="0" eb="1">
      <t>ショウ</t>
    </rPh>
    <rPh sb="3" eb="4">
      <t>シャ</t>
    </rPh>
    <rPh sb="4" eb="6">
      <t>コウジョ</t>
    </rPh>
    <rPh sb="7" eb="9">
      <t>ベッキョ</t>
    </rPh>
    <phoneticPr fontId="3"/>
  </si>
  <si>
    <t>特別障がい者控除(別居)</t>
    <rPh sb="0" eb="2">
      <t>トクベツ</t>
    </rPh>
    <rPh sb="2" eb="3">
      <t>ショウ</t>
    </rPh>
    <rPh sb="5" eb="6">
      <t>シャ</t>
    </rPh>
    <rPh sb="6" eb="8">
      <t>コウジョ</t>
    </rPh>
    <phoneticPr fontId="3"/>
  </si>
  <si>
    <t>所法§28</t>
    <phoneticPr fontId="3"/>
  </si>
  <si>
    <t>所法§35</t>
    <phoneticPr fontId="3"/>
  </si>
  <si>
    <t>公住令§1③ヘ</t>
    <phoneticPr fontId="3"/>
  </si>
  <si>
    <t>公住令§1③ト</t>
    <phoneticPr fontId="3"/>
  </si>
  <si>
    <t>所得金額の合計(A)</t>
    <rPh sb="0" eb="4">
      <t>ショトクキンガク</t>
    </rPh>
    <rPh sb="5" eb="7">
      <t>ゴウケイ</t>
    </rPh>
    <phoneticPr fontId="3"/>
  </si>
  <si>
    <t>政令控除額の合計(B)</t>
    <rPh sb="0" eb="2">
      <t>セイレイ</t>
    </rPh>
    <rPh sb="2" eb="5">
      <t>コウジョガク</t>
    </rPh>
    <rPh sb="6" eb="8">
      <t>ゴウケイ</t>
    </rPh>
    <phoneticPr fontId="3"/>
  </si>
  <si>
    <r>
      <t>所得税法上の</t>
    </r>
    <r>
      <rPr>
        <b/>
        <sz val="12"/>
        <color rgb="FFC00000"/>
        <rFont val="Yu Gothic UI"/>
        <family val="3"/>
        <charset val="128"/>
      </rPr>
      <t>控除対象配偶者</t>
    </r>
    <r>
      <rPr>
        <sz val="12"/>
        <color rgb="FFC00000"/>
        <rFont val="Yu Gothic UI"/>
        <family val="3"/>
        <charset val="128"/>
      </rPr>
      <t>または</t>
    </r>
    <r>
      <rPr>
        <b/>
        <sz val="12"/>
        <color rgb="FFC00000"/>
        <rFont val="Yu Gothic UI"/>
        <family val="3"/>
        <charset val="128"/>
      </rPr>
      <t>扶養親族</t>
    </r>
    <r>
      <rPr>
        <sz val="12"/>
        <rFont val="Yu Gothic UI"/>
        <family val="3"/>
        <charset val="128"/>
      </rPr>
      <t>のうち、</t>
    </r>
    <r>
      <rPr>
        <b/>
        <sz val="12"/>
        <color rgb="FFC00000"/>
        <rFont val="Yu Gothic UI"/>
        <family val="3"/>
        <charset val="128"/>
      </rPr>
      <t>70歳以上</t>
    </r>
    <r>
      <rPr>
        <sz val="12"/>
        <rFont val="Yu Gothic UI"/>
        <family val="3"/>
        <charset val="128"/>
      </rPr>
      <t>の人数（</t>
    </r>
    <r>
      <rPr>
        <u/>
        <sz val="12"/>
        <rFont val="Yu Gothic UI"/>
        <family val="3"/>
        <charset val="128"/>
      </rPr>
      <t>同居・別居問わず</t>
    </r>
    <r>
      <rPr>
        <sz val="12"/>
        <rFont val="Yu Gothic UI"/>
        <family val="3"/>
        <charset val="128"/>
      </rPr>
      <t>）</t>
    </r>
    <rPh sb="0" eb="2">
      <t>ショトク</t>
    </rPh>
    <rPh sb="2" eb="5">
      <t>ゼイホウジョウ</t>
    </rPh>
    <rPh sb="6" eb="8">
      <t>コウジョ</t>
    </rPh>
    <rPh sb="8" eb="10">
      <t>タイショウ</t>
    </rPh>
    <rPh sb="10" eb="13">
      <t>ハイグウシャ</t>
    </rPh>
    <rPh sb="16" eb="18">
      <t>フヨウ</t>
    </rPh>
    <rPh sb="18" eb="20">
      <t>シンゾク</t>
    </rPh>
    <rPh sb="26" eb="29">
      <t>サイイジョウ</t>
    </rPh>
    <rPh sb="30" eb="32">
      <t>ニンズウ</t>
    </rPh>
    <rPh sb="33" eb="35">
      <t>ドウキョ</t>
    </rPh>
    <rPh sb="36" eb="38">
      <t>ベッキョ</t>
    </rPh>
    <rPh sb="38" eb="39">
      <t>ト</t>
    </rPh>
    <phoneticPr fontId="3"/>
  </si>
  <si>
    <t>所得額の計算</t>
    <rPh sb="0" eb="2">
      <t>ショトク</t>
    </rPh>
    <rPh sb="2" eb="3">
      <t>ガク</t>
    </rPh>
    <rPh sb="4" eb="6">
      <t>ケイサン</t>
    </rPh>
    <phoneticPr fontId="3"/>
  </si>
  <si>
    <t>子ども・特別障害者等を有する者等</t>
    <rPh sb="0" eb="1">
      <t>コ</t>
    </rPh>
    <rPh sb="4" eb="6">
      <t>トクベツ</t>
    </rPh>
    <rPh sb="6" eb="9">
      <t>ショウガイシャ</t>
    </rPh>
    <rPh sb="9" eb="10">
      <t>トウ</t>
    </rPh>
    <rPh sb="11" eb="12">
      <t>ユウ</t>
    </rPh>
    <rPh sb="14" eb="15">
      <t>モノ</t>
    </rPh>
    <rPh sb="15" eb="16">
      <t>トウ</t>
    </rPh>
    <phoneticPr fontId="3"/>
  </si>
  <si>
    <t>給与所得と年金所得の双方を有する者</t>
    <rPh sb="0" eb="2">
      <t>キュウヨ</t>
    </rPh>
    <rPh sb="2" eb="4">
      <t>ショトク</t>
    </rPh>
    <rPh sb="5" eb="7">
      <t>ネンキン</t>
    </rPh>
    <rPh sb="7" eb="9">
      <t>ショトク</t>
    </rPh>
    <rPh sb="10" eb="12">
      <t>ソウホウ</t>
    </rPh>
    <rPh sb="13" eb="14">
      <t>ユウ</t>
    </rPh>
    <rPh sb="16" eb="17">
      <t>モノ</t>
    </rPh>
    <phoneticPr fontId="3"/>
  </si>
  <si>
    <t>所得金額調整控除</t>
    <rPh sb="0" eb="4">
      <t>ショトクキンガク</t>
    </rPh>
    <rPh sb="4" eb="8">
      <t>チョウセイコウジョ</t>
    </rPh>
    <phoneticPr fontId="3"/>
  </si>
  <si>
    <t>公営住宅法施行令における控除（政令控除額）</t>
    <rPh sb="0" eb="2">
      <t>コウエイ</t>
    </rPh>
    <rPh sb="2" eb="4">
      <t>ジュウタク</t>
    </rPh>
    <rPh sb="4" eb="5">
      <t>ホウ</t>
    </rPh>
    <rPh sb="5" eb="8">
      <t>セコウレイ</t>
    </rPh>
    <rPh sb="12" eb="14">
      <t>コウジョ</t>
    </rPh>
    <rPh sb="15" eb="17">
      <t>セイレイ</t>
    </rPh>
    <rPh sb="17" eb="20">
      <t>コウジョガク</t>
    </rPh>
    <phoneticPr fontId="3"/>
  </si>
  <si>
    <t>措法§41の3の11①</t>
    <rPh sb="0" eb="2">
      <t>ソホウ</t>
    </rPh>
    <phoneticPr fontId="3"/>
  </si>
  <si>
    <t>措法§41の3の11②</t>
    <rPh sb="0" eb="2">
      <t>ソホウ</t>
    </rPh>
    <phoneticPr fontId="3"/>
  </si>
  <si>
    <t>政令月収((A-B)/12)</t>
    <rPh sb="0" eb="2">
      <t>セイレイ</t>
    </rPh>
    <rPh sb="2" eb="4">
      <t>ゲッシュウ</t>
    </rPh>
    <phoneticPr fontId="3"/>
  </si>
  <si>
    <t>市条例§6Ⅲ①ア</t>
    <rPh sb="0" eb="3">
      <t>シジョウレイ</t>
    </rPh>
    <phoneticPr fontId="2"/>
  </si>
  <si>
    <t>市条例§6Ⅲ②</t>
    <rPh sb="0" eb="3">
      <t>シジョウレイ</t>
    </rPh>
    <phoneticPr fontId="2"/>
  </si>
  <si>
    <t>市条例§6Ⅲ③</t>
    <rPh sb="0" eb="3">
      <t>シジョウレイ</t>
    </rPh>
    <phoneticPr fontId="2"/>
  </si>
  <si>
    <t>市条例§6Ⅲ④</t>
    <rPh sb="0" eb="3">
      <t>シジョウレイ</t>
    </rPh>
    <phoneticPr fontId="2"/>
  </si>
  <si>
    <t>障害者</t>
    <rPh sb="0" eb="3">
      <t>ショウガイシャ</t>
    </rPh>
    <phoneticPr fontId="2"/>
  </si>
  <si>
    <t>高齢世帯</t>
    <rPh sb="0" eb="4">
      <t>コウレイセタイ</t>
    </rPh>
    <phoneticPr fontId="2"/>
  </si>
  <si>
    <t>未就学児</t>
    <rPh sb="0" eb="4">
      <t>ミシュウガクジ</t>
    </rPh>
    <phoneticPr fontId="2"/>
  </si>
  <si>
    <t>災害公営特例</t>
    <rPh sb="0" eb="2">
      <t>サイガイ</t>
    </rPh>
    <rPh sb="2" eb="4">
      <t>コウエイ</t>
    </rPh>
    <rPh sb="4" eb="6">
      <t>トクレイ</t>
    </rPh>
    <phoneticPr fontId="2"/>
  </si>
  <si>
    <t>障害の有無</t>
    <rPh sb="0" eb="2">
      <t>ショウガイ</t>
    </rPh>
    <rPh sb="3" eb="5">
      <t>ウム</t>
    </rPh>
    <phoneticPr fontId="3"/>
  </si>
  <si>
    <t>知的障害</t>
    <rPh sb="0" eb="4">
      <t>チテキショウガイ</t>
    </rPh>
    <phoneticPr fontId="3"/>
  </si>
  <si>
    <t>精神障害</t>
    <rPh sb="0" eb="4">
      <t>セイシンショウガイ</t>
    </rPh>
    <phoneticPr fontId="3"/>
  </si>
  <si>
    <t>身体障害</t>
    <rPh sb="0" eb="2">
      <t>シンタイ</t>
    </rPh>
    <rPh sb="2" eb="4">
      <t>ショウガイ</t>
    </rPh>
    <phoneticPr fontId="3"/>
  </si>
  <si>
    <t>戦傷病者、被爆者、引揚者、ハンセン病療養所入所者等</t>
    <rPh sb="0" eb="2">
      <t>センショウ</t>
    </rPh>
    <rPh sb="2" eb="4">
      <t>ビョウシャ</t>
    </rPh>
    <phoneticPr fontId="2"/>
  </si>
  <si>
    <t>市条例§6Ⅲ①イ～オ</t>
    <rPh sb="0" eb="3">
      <t>シジョウレイ</t>
    </rPh>
    <phoneticPr fontId="2"/>
  </si>
  <si>
    <r>
      <t>復興公営住宅に同居される方に、</t>
    </r>
    <r>
      <rPr>
        <b/>
        <sz val="12"/>
        <color rgb="FFC00000"/>
        <rFont val="Yu Gothic UI"/>
        <family val="3"/>
        <charset val="128"/>
      </rPr>
      <t>未就学児</t>
    </r>
    <r>
      <rPr>
        <sz val="10"/>
        <rFont val="Yu Gothic UI"/>
        <family val="3"/>
        <charset val="128"/>
      </rPr>
      <t>（小学校就学の始期に達するまでの方）</t>
    </r>
    <r>
      <rPr>
        <sz val="12"/>
        <rFont val="Yu Gothic UI"/>
        <family val="3"/>
        <charset val="128"/>
      </rPr>
      <t>はいらっしゃいますか。</t>
    </r>
    <rPh sb="0" eb="6">
      <t>フッコウコウエイジュウタク</t>
    </rPh>
    <rPh sb="7" eb="9">
      <t>ドウキョ</t>
    </rPh>
    <rPh sb="12" eb="13">
      <t>カタ</t>
    </rPh>
    <rPh sb="15" eb="19">
      <t>ミシュウガクジ</t>
    </rPh>
    <rPh sb="35" eb="36">
      <t>カタ</t>
    </rPh>
    <phoneticPr fontId="3"/>
  </si>
  <si>
    <r>
      <t>復興公営住宅に入居・同居される方に、</t>
    </r>
    <r>
      <rPr>
        <b/>
        <sz val="12"/>
        <color rgb="FF0070C0"/>
        <rFont val="Yu Gothic UI"/>
        <family val="3"/>
        <charset val="128"/>
      </rPr>
      <t>下記のいずれかに該当する方</t>
    </r>
    <r>
      <rPr>
        <sz val="12"/>
        <rFont val="Yu Gothic UI"/>
        <family val="3"/>
        <charset val="128"/>
      </rPr>
      <t>はいらっしゃいますか。
　・戦傷病者特別援護法第2条第1項に規定する戦傷病者でその障害の程度が恩給法に規定する
　  特別項症から第6項症までまたは第1款症である方
　・原爆被爆者援護法第11条第1項の規定による厚生労働大臣の認定を受けている方
　・海外からの引揚者で本邦に引き揚げた日から起算して5年を経過していない方
　・ハンセン病補償法第2条に規定するハンセン病療養所入所者等である方</t>
    </r>
    <rPh sb="0" eb="6">
      <t>フッコウコウエイジュウタク</t>
    </rPh>
    <rPh sb="7" eb="9">
      <t>ニュウキョ</t>
    </rPh>
    <rPh sb="10" eb="12">
      <t>ドウキョ</t>
    </rPh>
    <rPh sb="15" eb="16">
      <t>カタ</t>
    </rPh>
    <rPh sb="18" eb="20">
      <t>カキ</t>
    </rPh>
    <rPh sb="26" eb="28">
      <t>ガイトウ</t>
    </rPh>
    <rPh sb="30" eb="31">
      <t>カタ</t>
    </rPh>
    <phoneticPr fontId="3"/>
  </si>
  <si>
    <t>裁量階層</t>
    <rPh sb="0" eb="4">
      <t>サイリョウカイソウ</t>
    </rPh>
    <phoneticPr fontId="3"/>
  </si>
  <si>
    <t>障害者</t>
    <rPh sb="0" eb="3">
      <t>ショウガイシャ</t>
    </rPh>
    <phoneticPr fontId="3"/>
  </si>
  <si>
    <t>裁量階層</t>
    <rPh sb="0" eb="4">
      <t>サイリョウカイソウ</t>
    </rPh>
    <phoneticPr fontId="3"/>
  </si>
  <si>
    <t>2LDK</t>
    <phoneticPr fontId="3"/>
  </si>
  <si>
    <t>3LDK</t>
    <phoneticPr fontId="3"/>
  </si>
  <si>
    <t>60～65㎡</t>
    <phoneticPr fontId="3"/>
  </si>
  <si>
    <t>全体整備戸数の約8割</t>
    <rPh sb="0" eb="6">
      <t>ゼンタイセイビコスウ</t>
    </rPh>
    <rPh sb="7" eb="8">
      <t>ヤク</t>
    </rPh>
    <rPh sb="9" eb="10">
      <t>ワリ</t>
    </rPh>
    <phoneticPr fontId="3"/>
  </si>
  <si>
    <t>全体整備戸数の約2割</t>
    <rPh sb="0" eb="6">
      <t>ゼンタイセイビコスウ</t>
    </rPh>
    <rPh sb="7" eb="8">
      <t>ヤク</t>
    </rPh>
    <rPh sb="9" eb="10">
      <t>ワリ</t>
    </rPh>
    <phoneticPr fontId="3"/>
  </si>
  <si>
    <t>間取り</t>
    <rPh sb="0" eb="2">
      <t>マド</t>
    </rPh>
    <phoneticPr fontId="3"/>
  </si>
  <si>
    <t>整備戸数の目安</t>
    <rPh sb="0" eb="4">
      <t>セイビコスウ</t>
    </rPh>
    <rPh sb="5" eb="7">
      <t>メヤス</t>
    </rPh>
    <phoneticPr fontId="3"/>
  </si>
  <si>
    <t>家賃　＝　家賃算定基礎額　×　市町村立地係数　×　規模係数　×　経過年数係数　×　利便性係数</t>
    <rPh sb="0" eb="2">
      <t>ヤチン</t>
    </rPh>
    <rPh sb="5" eb="12">
      <t>ヤチンサンテイキソガク</t>
    </rPh>
    <rPh sb="15" eb="22">
      <t>シチョウソンリッチケイスウ</t>
    </rPh>
    <rPh sb="25" eb="29">
      <t>キボケイスウ</t>
    </rPh>
    <rPh sb="32" eb="36">
      <t>ケイカネンスウ</t>
    </rPh>
    <rPh sb="36" eb="38">
      <t>ケイスウ</t>
    </rPh>
    <rPh sb="41" eb="44">
      <t>リベンセイ</t>
    </rPh>
    <rPh sb="44" eb="46">
      <t>ケイスウ</t>
    </rPh>
    <phoneticPr fontId="3"/>
  </si>
  <si>
    <t>※当該額が近傍同種の住宅の家賃の額を超える場合にあつては、近傍同種の住宅の家賃の額</t>
    <phoneticPr fontId="3"/>
  </si>
  <si>
    <t>市町村立地係数</t>
    <rPh sb="0" eb="7">
      <t>シチョウソンリッチケイスウ</t>
    </rPh>
    <phoneticPr fontId="3"/>
  </si>
  <si>
    <t>規模係数</t>
    <rPh sb="0" eb="4">
      <t>キボケイスウ</t>
    </rPh>
    <phoneticPr fontId="3"/>
  </si>
  <si>
    <t>㎡</t>
    <phoneticPr fontId="3"/>
  </si>
  <si>
    <t>利便性係数</t>
    <rPh sb="0" eb="5">
      <t>リベンセイケイスウ</t>
    </rPh>
    <phoneticPr fontId="3"/>
  </si>
  <si>
    <t>住戸面積</t>
    <rPh sb="0" eb="2">
      <t>ジュウコ</t>
    </rPh>
    <rPh sb="2" eb="4">
      <t>メンセキ</t>
    </rPh>
    <phoneticPr fontId="3"/>
  </si>
  <si>
    <t>←</t>
    <phoneticPr fontId="3"/>
  </si>
  <si>
    <t>経過年数</t>
    <rPh sb="0" eb="4">
      <t>ケイカネンスウ</t>
    </rPh>
    <phoneticPr fontId="3"/>
  </si>
  <si>
    <t>家賃算定基礎額</t>
    <phoneticPr fontId="3"/>
  </si>
  <si>
    <t>政令月収下限</t>
    <rPh sb="0" eb="4">
      <t>セイレイゲッシュウ</t>
    </rPh>
    <rPh sb="4" eb="6">
      <t>カゲン</t>
    </rPh>
    <phoneticPr fontId="3"/>
  </si>
  <si>
    <t>政令月収上限</t>
    <rPh sb="4" eb="6">
      <t>ジョウゲン</t>
    </rPh>
    <phoneticPr fontId="3"/>
  </si>
  <si>
    <t>該当</t>
    <rPh sb="0" eb="2">
      <t>ガイトウ</t>
    </rPh>
    <phoneticPr fontId="3"/>
  </si>
  <si>
    <t>分位</t>
    <rPh sb="0" eb="2">
      <t>ブンイ</t>
    </rPh>
    <phoneticPr fontId="3"/>
  </si>
  <si>
    <t>第1分位</t>
    <rPh sb="0" eb="1">
      <t>ダイ</t>
    </rPh>
    <rPh sb="2" eb="4">
      <t>ブンイ</t>
    </rPh>
    <phoneticPr fontId="3"/>
  </si>
  <si>
    <t>第2分位</t>
    <rPh sb="0" eb="1">
      <t>ダイ</t>
    </rPh>
    <rPh sb="2" eb="4">
      <t>ブンイ</t>
    </rPh>
    <phoneticPr fontId="3"/>
  </si>
  <si>
    <t>第3分位</t>
    <rPh sb="0" eb="1">
      <t>ダイ</t>
    </rPh>
    <rPh sb="2" eb="4">
      <t>ブンイ</t>
    </rPh>
    <phoneticPr fontId="3"/>
  </si>
  <si>
    <t>第4分位</t>
    <rPh sb="0" eb="1">
      <t>ダイ</t>
    </rPh>
    <rPh sb="2" eb="4">
      <t>ブンイ</t>
    </rPh>
    <phoneticPr fontId="3"/>
  </si>
  <si>
    <t>第5分位</t>
    <rPh sb="0" eb="1">
      <t>ダイ</t>
    </rPh>
    <rPh sb="2" eb="4">
      <t>ブンイ</t>
    </rPh>
    <phoneticPr fontId="3"/>
  </si>
  <si>
    <t>第6分位</t>
    <rPh sb="0" eb="1">
      <t>ダイ</t>
    </rPh>
    <rPh sb="2" eb="4">
      <t>ブンイ</t>
    </rPh>
    <phoneticPr fontId="3"/>
  </si>
  <si>
    <t>第7分位</t>
    <rPh sb="0" eb="1">
      <t>ダイ</t>
    </rPh>
    <rPh sb="2" eb="4">
      <t>ブンイ</t>
    </rPh>
    <phoneticPr fontId="3"/>
  </si>
  <si>
    <t>第8分位</t>
    <rPh sb="0" eb="1">
      <t>ダイ</t>
    </rPh>
    <rPh sb="2" eb="4">
      <t>ブンイ</t>
    </rPh>
    <phoneticPr fontId="3"/>
  </si>
  <si>
    <t>家賃算定基礎額</t>
    <rPh sb="0" eb="7">
      <t>ヤチンサンテイキソガク</t>
    </rPh>
    <phoneticPr fontId="3"/>
  </si>
  <si>
    <t>家賃算定基礎額</t>
    <rPh sb="0" eb="7">
      <t>ヤチンサンテイキソガク</t>
    </rPh>
    <phoneticPr fontId="3"/>
  </si>
  <si>
    <t>家賃</t>
    <rPh sb="0" eb="2">
      <t>ヤチン</t>
    </rPh>
    <phoneticPr fontId="3"/>
  </si>
  <si>
    <t>経過年数係数の係数</t>
    <rPh sb="0" eb="6">
      <t>ケイカネンスウケイスウ</t>
    </rPh>
    <rPh sb="7" eb="9">
      <t>ケイスウ</t>
    </rPh>
    <phoneticPr fontId="3"/>
  </si>
  <si>
    <t>※木造は0.0087</t>
    <rPh sb="1" eb="3">
      <t>モクゾウ</t>
    </rPh>
    <phoneticPr fontId="3"/>
  </si>
  <si>
    <t>木造以外</t>
    <phoneticPr fontId="3"/>
  </si>
  <si>
    <t>区分</t>
  </si>
  <si>
    <t>調査基準日</t>
  </si>
  <si>
    <t>住居表示</t>
  </si>
  <si>
    <t>利用現況</t>
  </si>
  <si>
    <t>給排水等状況説明</t>
  </si>
  <si>
    <t>周辺の土地の利用概況</t>
  </si>
  <si>
    <t>都市計画区域区分</t>
  </si>
  <si>
    <t>森林法、公園法、自然環境等</t>
  </si>
  <si>
    <t>舗装</t>
  </si>
  <si>
    <t>地価公示</t>
  </si>
  <si>
    <t>石川県七尾市郡町弐１７番１１</t>
  </si>
  <si>
    <t>七尾</t>
  </si>
  <si>
    <t>1,000m</t>
  </si>
  <si>
    <t>165(㎡)</t>
  </si>
  <si>
    <t>台形(1.0:2.0)</t>
  </si>
  <si>
    <t>建物などの敷地</t>
  </si>
  <si>
    <t>W（木造）</t>
  </si>
  <si>
    <t>2F</t>
  </si>
  <si>
    <t>住宅</t>
  </si>
  <si>
    <t>水道・下水</t>
  </si>
  <si>
    <t>地震による損壊建物が見られる既成住宅地域</t>
  </si>
  <si>
    <t>西</t>
  </si>
  <si>
    <t>6.0m</t>
  </si>
  <si>
    <t>市道</t>
  </si>
  <si>
    <t>第一種住居地域</t>
  </si>
  <si>
    <t>準防火地域</t>
  </si>
  <si>
    <t>60(%)</t>
  </si>
  <si>
    <t>200(%)</t>
  </si>
  <si>
    <t>非線引都市計画区域</t>
  </si>
  <si>
    <t>石川県七尾市南藤橋町巳７番２４外</t>
  </si>
  <si>
    <t>600m</t>
  </si>
  <si>
    <t>141(㎡)</t>
  </si>
  <si>
    <t>(1.0:2.0)</t>
  </si>
  <si>
    <t>水道</t>
  </si>
  <si>
    <t>北</t>
  </si>
  <si>
    <t>4.0m</t>
  </si>
  <si>
    <t>石川県七尾市なぎの浦１０番</t>
  </si>
  <si>
    <t>1,900m</t>
  </si>
  <si>
    <t>270(㎡)</t>
  </si>
  <si>
    <t>地震による損壊建物が見られる海寄りの住宅地域</t>
  </si>
  <si>
    <t>北東</t>
  </si>
  <si>
    <t>石川県七尾市府中町１２番１</t>
  </si>
  <si>
    <t>500m</t>
  </si>
  <si>
    <t>174(㎡)</t>
  </si>
  <si>
    <t>空地</t>
  </si>
  <si>
    <t>地震による損壊建物が多く見られる既成商業地域</t>
  </si>
  <si>
    <t>南</t>
  </si>
  <si>
    <t>7.1m</t>
  </si>
  <si>
    <t>商業地域</t>
  </si>
  <si>
    <t>防火地域</t>
  </si>
  <si>
    <t>80(%)</t>
  </si>
  <si>
    <t>400(%)</t>
  </si>
  <si>
    <t>石川県七尾市和倉町ワ２０番８</t>
  </si>
  <si>
    <t>和倉温泉</t>
  </si>
  <si>
    <t>2,100m</t>
  </si>
  <si>
    <t>89(㎡)</t>
  </si>
  <si>
    <t>(1.0:1.5)</t>
  </si>
  <si>
    <t>店舗兼住宅</t>
  </si>
  <si>
    <t>地震による損壊建物が多く残る温泉街の商業地域</t>
  </si>
  <si>
    <t>北西</t>
  </si>
  <si>
    <t>14.0m</t>
  </si>
  <si>
    <t>県道</t>
  </si>
  <si>
    <t>地価調査</t>
  </si>
  <si>
    <t>石川県七尾市栄町１５３番外</t>
  </si>
  <si>
    <t>1,300m</t>
  </si>
  <si>
    <t>249(㎡)</t>
  </si>
  <si>
    <t>(1.0:1.2)</t>
  </si>
  <si>
    <t>一般住宅が多い集落に近く、地震による損壊建物も見られる住宅地域</t>
  </si>
  <si>
    <t>市区町村道</t>
  </si>
  <si>
    <t>第一種中高層住居専用地域</t>
  </si>
  <si>
    <t>石川県七尾市矢田町壱号２１０番３</t>
  </si>
  <si>
    <t>1,500m</t>
  </si>
  <si>
    <t>179(㎡)</t>
  </si>
  <si>
    <t>一般住宅のほか、地震による損壊建物も見られる郊外の住宅地域</t>
  </si>
  <si>
    <t>7.8m</t>
  </si>
  <si>
    <t>背面道</t>
  </si>
  <si>
    <t>第一種低層住居専用地域</t>
  </si>
  <si>
    <t>50(%)</t>
  </si>
  <si>
    <t>100(%)</t>
  </si>
  <si>
    <t>石川県七尾市阿良町３１番３・３３番合併外</t>
  </si>
  <si>
    <t>800m</t>
  </si>
  <si>
    <t>224(㎡)</t>
  </si>
  <si>
    <t>(1.0:3.0)</t>
  </si>
  <si>
    <t>LS（軽量鉄骨造）</t>
  </si>
  <si>
    <t>中小規模住宅のほか、地震による倒壊建物が残る中心部の住宅地域</t>
  </si>
  <si>
    <t>6.7m</t>
  </si>
  <si>
    <t>近隣商業地域</t>
  </si>
  <si>
    <t>300(%)</t>
  </si>
  <si>
    <t>石川県七尾市石崎町香島２丁目１００番</t>
  </si>
  <si>
    <t>227(㎡)</t>
  </si>
  <si>
    <t>地震による損壊建物が見られる区画整理済みの住宅地域</t>
  </si>
  <si>
    <t>東</t>
  </si>
  <si>
    <t>石川県七尾市舟尾町リ７７番１</t>
  </si>
  <si>
    <t>田鶴浜</t>
  </si>
  <si>
    <t>1,100m</t>
  </si>
  <si>
    <t>403(㎡)</t>
  </si>
  <si>
    <t>(2.0:1.0)</t>
  </si>
  <si>
    <t>地震による損壊建物が残る既成住宅地域</t>
  </si>
  <si>
    <t>4.5m</t>
  </si>
  <si>
    <t>その他</t>
  </si>
  <si>
    <t>-(%)</t>
  </si>
  <si>
    <t>都市計画区域の定めのない区域</t>
  </si>
  <si>
    <t>石川県七尾市大津町壱七５８番３</t>
  </si>
  <si>
    <t>笠師保</t>
  </si>
  <si>
    <t>1,700m</t>
  </si>
  <si>
    <t>978(㎡)</t>
  </si>
  <si>
    <t>一般住宅、農家住宅のほか店舗も散見される県道沿いの住宅地域</t>
  </si>
  <si>
    <t>11.0m</t>
  </si>
  <si>
    <t>都道府県道</t>
  </si>
  <si>
    <t>石川県七尾市能登島半浦町壱五２３番１</t>
  </si>
  <si>
    <t>7,000m</t>
  </si>
  <si>
    <t>257(㎡)</t>
  </si>
  <si>
    <t>(1.0:1.0)</t>
  </si>
  <si>
    <t>地震による倒壊建物が残る海岸沿いの住宅地域</t>
  </si>
  <si>
    <t>6.3m</t>
  </si>
  <si>
    <t>石川県七尾市小丸山台２丁目９４番</t>
  </si>
  <si>
    <t>255(㎡)</t>
  </si>
  <si>
    <t>中規模一般住宅が多い区画整然とした住宅地域</t>
  </si>
  <si>
    <t>南西</t>
  </si>
  <si>
    <t>石川県七尾市中島町浜田耕２２０番</t>
  </si>
  <si>
    <t>能登中島</t>
  </si>
  <si>
    <t>598(㎡)</t>
  </si>
  <si>
    <t>台形(1.0:1.5)</t>
  </si>
  <si>
    <t>地震により損壊した建物が残るほか空地が見られる住宅地域</t>
  </si>
  <si>
    <t>側道</t>
  </si>
  <si>
    <t>石川県七尾市神明町ロ２番１０外</t>
  </si>
  <si>
    <t>150m</t>
  </si>
  <si>
    <t>281(㎡)</t>
  </si>
  <si>
    <t>(1.0:4.0)</t>
  </si>
  <si>
    <t>RC（鉄筋 コンクリート造）</t>
  </si>
  <si>
    <t>4F</t>
  </si>
  <si>
    <t>店舗兼事務所</t>
  </si>
  <si>
    <t>ビル、店舗、営業所等が建ち並ぶ駅前の中心的商業地域</t>
  </si>
  <si>
    <t>15.0m</t>
  </si>
  <si>
    <t>石川県七尾市本府中町ル３５番３</t>
  </si>
  <si>
    <t>1,600m</t>
  </si>
  <si>
    <t>814(㎡)</t>
  </si>
  <si>
    <t>(1.0:2.5)</t>
  </si>
  <si>
    <t>S（鉄骨造）</t>
  </si>
  <si>
    <t>店舗</t>
  </si>
  <si>
    <t>低層店舗等のほか、地震による損壊建物も見られる路線商業地域</t>
  </si>
  <si>
    <t>10.0m</t>
  </si>
  <si>
    <t>国道</t>
  </si>
  <si>
    <t>準工業地域</t>
  </si>
  <si>
    <t>石川県七尾市田鶴浜町ワ４番１</t>
  </si>
  <si>
    <t>120m</t>
  </si>
  <si>
    <t>103(㎡)</t>
  </si>
  <si>
    <t>地震による倒壊建物が多く残る既成商業地域</t>
  </si>
  <si>
    <t>7.2m</t>
  </si>
  <si>
    <t>石川県七尾市能登島向田町に１２番１</t>
  </si>
  <si>
    <t>11,000m</t>
  </si>
  <si>
    <t>1,021(㎡)</t>
  </si>
  <si>
    <t>旅館</t>
  </si>
  <si>
    <t>地震による損壊建物が残るほか空地が見られる県道沿いの商業地域</t>
  </si>
  <si>
    <t>1,400m</t>
  </si>
  <si>
    <t>589(㎡)</t>
  </si>
  <si>
    <t>3F</t>
  </si>
  <si>
    <t>地震により損壊した建物が残る既成商業地域</t>
  </si>
  <si>
    <t>南東</t>
  </si>
  <si>
    <t>石川県七尾市佐味町ハ１５番１</t>
  </si>
  <si>
    <t>3,500m</t>
  </si>
  <si>
    <t>1,201(㎡)</t>
  </si>
  <si>
    <t>(1.0:3.5)</t>
  </si>
  <si>
    <t>その他（SRC,RC,S,W,B以外、及び田、畑）</t>
  </si>
  <si>
    <t>工場</t>
  </si>
  <si>
    <t>工場、配送センター、資材置場等が見られる工業地域</t>
  </si>
  <si>
    <t>9.5m</t>
  </si>
  <si>
    <t>七尾-1</t>
  </si>
  <si>
    <t>七尾-2</t>
  </si>
  <si>
    <t>七尾-3</t>
  </si>
  <si>
    <t>七尾5-1</t>
  </si>
  <si>
    <t>七尾5-2</t>
  </si>
  <si>
    <t>七尾-4</t>
  </si>
  <si>
    <t>七尾-5</t>
  </si>
  <si>
    <t>七尾-6</t>
  </si>
  <si>
    <t>七尾-7</t>
  </si>
  <si>
    <t>七尾-8</t>
  </si>
  <si>
    <t>七尾-9</t>
  </si>
  <si>
    <t>七尾5-3</t>
  </si>
  <si>
    <t>七尾5-4</t>
  </si>
  <si>
    <t>七尾5-5</t>
  </si>
  <si>
    <t>七尾9-1</t>
  </si>
  <si>
    <t>標準地番号</t>
    <phoneticPr fontId="3"/>
  </si>
  <si>
    <t>価格(円/㎡)</t>
    <phoneticPr fontId="3"/>
  </si>
  <si>
    <t>所在及び地番</t>
    <phoneticPr fontId="3"/>
  </si>
  <si>
    <t>交通施設</t>
    <phoneticPr fontId="3"/>
  </si>
  <si>
    <t>交通施設距離</t>
    <rPh sb="4" eb="6">
      <t>キョリ</t>
    </rPh>
    <phoneticPr fontId="3"/>
  </si>
  <si>
    <t>地積(㎡)</t>
    <phoneticPr fontId="3"/>
  </si>
  <si>
    <t>形状(間口：奥行)</t>
    <phoneticPr fontId="3"/>
  </si>
  <si>
    <t>利用区分</t>
    <phoneticPr fontId="3"/>
  </si>
  <si>
    <t>建物構造</t>
    <rPh sb="2" eb="4">
      <t>コウゾウ</t>
    </rPh>
    <phoneticPr fontId="3"/>
  </si>
  <si>
    <t>建物階数</t>
    <rPh sb="2" eb="4">
      <t>カイスウ</t>
    </rPh>
    <phoneticPr fontId="3"/>
  </si>
  <si>
    <t>前面道路幅員</t>
    <rPh sb="0" eb="4">
      <t>ゼンメンドウロ</t>
    </rPh>
    <rPh sb="4" eb="6">
      <t>フクイン</t>
    </rPh>
    <phoneticPr fontId="3"/>
  </si>
  <si>
    <t>接道方向</t>
    <rPh sb="0" eb="4">
      <t>セツドウホウコウ</t>
    </rPh>
    <phoneticPr fontId="3"/>
  </si>
  <si>
    <t>前面道路種別</t>
    <rPh sb="4" eb="6">
      <t>シュベツ</t>
    </rPh>
    <phoneticPr fontId="3"/>
  </si>
  <si>
    <t>前面道路状況</t>
    <rPh sb="4" eb="6">
      <t>ジョウキョウ</t>
    </rPh>
    <phoneticPr fontId="3"/>
  </si>
  <si>
    <t>その他の接面道路</t>
    <phoneticPr fontId="3"/>
  </si>
  <si>
    <t>用途地域等</t>
    <phoneticPr fontId="3"/>
  </si>
  <si>
    <t>高度地区</t>
    <phoneticPr fontId="3"/>
  </si>
  <si>
    <t>防火・準防火</t>
    <phoneticPr fontId="3"/>
  </si>
  <si>
    <t>建蔽率(%)</t>
    <phoneticPr fontId="3"/>
  </si>
  <si>
    <t>容積率(%)</t>
    <phoneticPr fontId="3"/>
  </si>
  <si>
    <t>条件入力</t>
    <rPh sb="0" eb="4">
      <t>ジョウケンニュウリョク</t>
    </rPh>
    <phoneticPr fontId="23"/>
  </si>
  <si>
    <t>2DKの戸数</t>
    <rPh sb="4" eb="6">
      <t>コスウ</t>
    </rPh>
    <phoneticPr fontId="23"/>
  </si>
  <si>
    <t>戸</t>
    <rPh sb="0" eb="1">
      <t>ト</t>
    </rPh>
    <phoneticPr fontId="23"/>
  </si>
  <si>
    <t>田鶴浜保育園跡地を想定</t>
    <rPh sb="0" eb="3">
      <t>タツルハマ</t>
    </rPh>
    <rPh sb="3" eb="6">
      <t>ホイクエン</t>
    </rPh>
    <rPh sb="6" eb="8">
      <t>アトチ</t>
    </rPh>
    <rPh sb="9" eb="11">
      <t>ソウテイ</t>
    </rPh>
    <phoneticPr fontId="23"/>
  </si>
  <si>
    <t>2DKの住戸面積</t>
    <rPh sb="4" eb="8">
      <t>ジュウコメンセキ</t>
    </rPh>
    <phoneticPr fontId="23"/>
  </si>
  <si>
    <t>㎡/戸</t>
    <rPh sb="2" eb="3">
      <t>ト</t>
    </rPh>
    <phoneticPr fontId="23"/>
  </si>
  <si>
    <t>※基本計画検討時のプランは61.4㎡</t>
    <rPh sb="1" eb="5">
      <t>キホンケイカク</t>
    </rPh>
    <rPh sb="5" eb="8">
      <t>ケントウジ</t>
    </rPh>
    <phoneticPr fontId="23"/>
  </si>
  <si>
    <t>3DKの戸数</t>
    <rPh sb="4" eb="6">
      <t>コスウ</t>
    </rPh>
    <phoneticPr fontId="23"/>
  </si>
  <si>
    <t>田鶴浜保育園跡地を想定</t>
    <phoneticPr fontId="23"/>
  </si>
  <si>
    <t>3DKの住戸面積</t>
    <rPh sb="4" eb="6">
      <t>ジュウコ</t>
    </rPh>
    <rPh sb="6" eb="8">
      <t>メンセキ</t>
    </rPh>
    <phoneticPr fontId="23"/>
  </si>
  <si>
    <t>※基本計画検討時のプランは77.4㎡</t>
    <rPh sb="1" eb="5">
      <t>キホンケイカク</t>
    </rPh>
    <rPh sb="5" eb="8">
      <t>ケントウジ</t>
    </rPh>
    <phoneticPr fontId="23"/>
  </si>
  <si>
    <t>敷地面積</t>
    <rPh sb="0" eb="4">
      <t>シキチメンセキ</t>
    </rPh>
    <phoneticPr fontId="23"/>
  </si>
  <si>
    <t>㎡</t>
    <phoneticPr fontId="23"/>
  </si>
  <si>
    <t>土地㎡単価</t>
    <rPh sb="0" eb="2">
      <t>トチ</t>
    </rPh>
    <rPh sb="3" eb="5">
      <t>タンカ</t>
    </rPh>
    <phoneticPr fontId="23"/>
  </si>
  <si>
    <t>千円/㎡</t>
    <rPh sb="0" eb="2">
      <t>センエン</t>
    </rPh>
    <phoneticPr fontId="23"/>
  </si>
  <si>
    <t>七尾5-3（令和6年7月1日）　石川県七尾市田鶴浜町ワ４番１</t>
    <rPh sb="0" eb="2">
      <t>ナナオ</t>
    </rPh>
    <rPh sb="6" eb="8">
      <t>レイワ</t>
    </rPh>
    <rPh sb="9" eb="10">
      <t>ネン</t>
    </rPh>
    <rPh sb="11" eb="12">
      <t>ガツ</t>
    </rPh>
    <rPh sb="13" eb="14">
      <t>ニチ</t>
    </rPh>
    <phoneticPr fontId="23"/>
  </si>
  <si>
    <t>㎡あたり建設費</t>
    <rPh sb="4" eb="7">
      <t>ケンセツヒ</t>
    </rPh>
    <phoneticPr fontId="23"/>
  </si>
  <si>
    <t>標準建設費（令和7年度　主体附帯工事費　木造平屋建て・豪雪地帯・地域5）</t>
    <rPh sb="0" eb="5">
      <t>ヒョウジュンケンセツヒ</t>
    </rPh>
    <rPh sb="6" eb="8">
      <t>レイワ</t>
    </rPh>
    <rPh sb="9" eb="11">
      <t>ネンド</t>
    </rPh>
    <rPh sb="20" eb="22">
      <t>モクゾウ</t>
    </rPh>
    <rPh sb="22" eb="25">
      <t>ヒラヤダ</t>
    </rPh>
    <rPh sb="27" eb="31">
      <t>ゴウセツチタイ</t>
    </rPh>
    <rPh sb="32" eb="34">
      <t>チイキ</t>
    </rPh>
    <phoneticPr fontId="23"/>
  </si>
  <si>
    <t>その他のパラメーター</t>
    <rPh sb="2" eb="3">
      <t>タ</t>
    </rPh>
    <phoneticPr fontId="23"/>
  </si>
  <si>
    <t>ネット率</t>
    <rPh sb="3" eb="4">
      <t>リツ</t>
    </rPh>
    <phoneticPr fontId="23"/>
  </si>
  <si>
    <t>住戸面積の合計÷延床面積</t>
    <rPh sb="0" eb="4">
      <t>ジュウコメンセキ</t>
    </rPh>
    <rPh sb="5" eb="7">
      <t>ゴウケイ</t>
    </rPh>
    <rPh sb="8" eb="9">
      <t>ノ</t>
    </rPh>
    <rPh sb="9" eb="12">
      <t>ユカメンセキ</t>
    </rPh>
    <phoneticPr fontId="23"/>
  </si>
  <si>
    <t>消費税</t>
    <rPh sb="0" eb="3">
      <t>ショウヒゼイ</t>
    </rPh>
    <phoneticPr fontId="23"/>
  </si>
  <si>
    <t>固定値</t>
    <rPh sb="0" eb="3">
      <t>コテイチ</t>
    </rPh>
    <phoneticPr fontId="23"/>
  </si>
  <si>
    <t>経過年数</t>
    <rPh sb="0" eb="2">
      <t>ケイカ</t>
    </rPh>
    <rPh sb="2" eb="4">
      <t>ネンスウ</t>
    </rPh>
    <phoneticPr fontId="23"/>
  </si>
  <si>
    <t>K</t>
    <phoneticPr fontId="24"/>
  </si>
  <si>
    <t>建設から3年経過と仮定</t>
    <rPh sb="0" eb="2">
      <t>ケンセツ</t>
    </rPh>
    <rPh sb="5" eb="8">
      <t>ネンケイカ</t>
    </rPh>
    <rPh sb="9" eb="11">
      <t>カテイ</t>
    </rPh>
    <phoneticPr fontId="23"/>
  </si>
  <si>
    <t>規則23条乗率</t>
    <rPh sb="0" eb="2">
      <t>キソク</t>
    </rPh>
    <rPh sb="4" eb="5">
      <t>ジョウ</t>
    </rPh>
    <rPh sb="5" eb="6">
      <t>ジョウ</t>
    </rPh>
    <rPh sb="6" eb="7">
      <t>リツ</t>
    </rPh>
    <phoneticPr fontId="23"/>
  </si>
  <si>
    <t>a</t>
    <phoneticPr fontId="24"/>
  </si>
  <si>
    <t>年平均減価額算定乗率</t>
    <rPh sb="0" eb="3">
      <t>ネンヘイキン</t>
    </rPh>
    <rPh sb="3" eb="5">
      <t>ゲンカ</t>
    </rPh>
    <rPh sb="5" eb="6">
      <t>ガク</t>
    </rPh>
    <rPh sb="6" eb="8">
      <t>サンテイ</t>
    </rPh>
    <rPh sb="8" eb="9">
      <t>ジョウ</t>
    </rPh>
    <rPh sb="9" eb="10">
      <t>リツ</t>
    </rPh>
    <phoneticPr fontId="23"/>
  </si>
  <si>
    <t>b</t>
    <phoneticPr fontId="24"/>
  </si>
  <si>
    <t>残存価値算定率</t>
    <rPh sb="0" eb="2">
      <t>ザンゾン</t>
    </rPh>
    <rPh sb="2" eb="4">
      <t>カチ</t>
    </rPh>
    <rPh sb="4" eb="6">
      <t>サンテイ</t>
    </rPh>
    <rPh sb="6" eb="7">
      <t>リツ</t>
    </rPh>
    <phoneticPr fontId="23"/>
  </si>
  <si>
    <t>c</t>
    <phoneticPr fontId="24"/>
  </si>
  <si>
    <t>修繕費率</t>
    <rPh sb="0" eb="3">
      <t>シュウゼンヒ</t>
    </rPh>
    <rPh sb="3" eb="4">
      <t>リツ</t>
    </rPh>
    <phoneticPr fontId="23"/>
  </si>
  <si>
    <t>d</t>
    <phoneticPr fontId="24"/>
  </si>
  <si>
    <t>管理事務費率</t>
    <rPh sb="0" eb="2">
      <t>カンリ</t>
    </rPh>
    <rPh sb="2" eb="5">
      <t>ジムヒ</t>
    </rPh>
    <rPh sb="5" eb="6">
      <t>リツ</t>
    </rPh>
    <phoneticPr fontId="23"/>
  </si>
  <si>
    <t>e</t>
    <phoneticPr fontId="24"/>
  </si>
  <si>
    <t>損害保険料率</t>
    <rPh sb="0" eb="2">
      <t>ソンガイ</t>
    </rPh>
    <rPh sb="2" eb="4">
      <t>ホケン</t>
    </rPh>
    <rPh sb="4" eb="5">
      <t>リョウ</t>
    </rPh>
    <rPh sb="5" eb="6">
      <t>リツ</t>
    </rPh>
    <phoneticPr fontId="23"/>
  </si>
  <si>
    <t>f</t>
    <phoneticPr fontId="24"/>
  </si>
  <si>
    <t>※加入している保険による</t>
    <rPh sb="1" eb="3">
      <t>カニュウ</t>
    </rPh>
    <rPh sb="7" eb="9">
      <t>ホケン</t>
    </rPh>
    <phoneticPr fontId="23"/>
  </si>
  <si>
    <t>新築単価(再調達価額計算)</t>
    <rPh sb="0" eb="4">
      <t>シンチクタンカ</t>
    </rPh>
    <phoneticPr fontId="23"/>
  </si>
  <si>
    <t>法定耐用年数</t>
    <rPh sb="0" eb="2">
      <t>ホウテイ</t>
    </rPh>
    <rPh sb="2" eb="4">
      <t>タイヨウ</t>
    </rPh>
    <rPh sb="4" eb="6">
      <t>ネンスウ</t>
    </rPh>
    <phoneticPr fontId="23"/>
  </si>
  <si>
    <t>Y</t>
    <phoneticPr fontId="24"/>
  </si>
  <si>
    <t>年</t>
    <rPh sb="0" eb="1">
      <t>ネン</t>
    </rPh>
    <phoneticPr fontId="24"/>
  </si>
  <si>
    <t>延床面積</t>
    <rPh sb="0" eb="1">
      <t>ノ</t>
    </rPh>
    <rPh sb="1" eb="4">
      <t>ユカメンセキ</t>
    </rPh>
    <phoneticPr fontId="23"/>
  </si>
  <si>
    <t>={(2DKの戸数)*(2DKの住戸面積)＋(3DKの戸数)*(3DKの住戸面積)}/(ネット率)</t>
    <rPh sb="7" eb="9">
      <t>コスウ</t>
    </rPh>
    <rPh sb="16" eb="20">
      <t>ジュウコメンセキ</t>
    </rPh>
    <rPh sb="47" eb="48">
      <t>リツ</t>
    </rPh>
    <phoneticPr fontId="23"/>
  </si>
  <si>
    <t>敷地購入費</t>
    <rPh sb="0" eb="5">
      <t>シキチコウニュウヒ</t>
    </rPh>
    <phoneticPr fontId="23"/>
  </si>
  <si>
    <t>千円</t>
    <rPh sb="0" eb="2">
      <t>センエン</t>
    </rPh>
    <phoneticPr fontId="23"/>
  </si>
  <si>
    <t>=(敷地面積)*(土地㎡単価)</t>
    <rPh sb="2" eb="6">
      <t>シキチメンセキ</t>
    </rPh>
    <rPh sb="9" eb="11">
      <t>トチ</t>
    </rPh>
    <rPh sb="12" eb="14">
      <t>タンカ</t>
    </rPh>
    <phoneticPr fontId="23"/>
  </si>
  <si>
    <t>計算：2DK住戸</t>
    <rPh sb="0" eb="2">
      <t>ケイサン</t>
    </rPh>
    <rPh sb="6" eb="8">
      <t>ジュウコ</t>
    </rPh>
    <phoneticPr fontId="23"/>
  </si>
  <si>
    <t>建設費</t>
    <rPh sb="0" eb="2">
      <t>ケンセツ</t>
    </rPh>
    <phoneticPr fontId="23"/>
  </si>
  <si>
    <t>α</t>
    <phoneticPr fontId="24"/>
  </si>
  <si>
    <t>千円/戸　</t>
    <rPh sb="0" eb="2">
      <t>センエン</t>
    </rPh>
    <rPh sb="3" eb="4">
      <t>コ</t>
    </rPh>
    <phoneticPr fontId="24"/>
  </si>
  <si>
    <t>={(2DKの住戸面積)/(ネット率)}*(㎡あたり建設費)*(100%+消費税)</t>
    <rPh sb="17" eb="18">
      <t>リツ</t>
    </rPh>
    <phoneticPr fontId="23"/>
  </si>
  <si>
    <t>固定資産税評価額相当額</t>
    <rPh sb="0" eb="2">
      <t>コテイ</t>
    </rPh>
    <rPh sb="2" eb="5">
      <t>シサンゼイ</t>
    </rPh>
    <rPh sb="5" eb="8">
      <t>ヒョウカガク</t>
    </rPh>
    <rPh sb="8" eb="10">
      <t>ソウトウ</t>
    </rPh>
    <rPh sb="10" eb="11">
      <t>ガク</t>
    </rPh>
    <phoneticPr fontId="23"/>
  </si>
  <si>
    <t>β</t>
    <phoneticPr fontId="24"/>
  </si>
  <si>
    <t>千円/戸</t>
    <rPh sb="0" eb="2">
      <t>センエン</t>
    </rPh>
    <rPh sb="3" eb="4">
      <t>コ</t>
    </rPh>
    <phoneticPr fontId="24"/>
  </si>
  <si>
    <t>=(敷地購入費)*70%*{(2DKの住戸面積)/(ネット率)}/(延床面積)</t>
    <rPh sb="2" eb="7">
      <t>シキチコウニュウヒ</t>
    </rPh>
    <rPh sb="34" eb="35">
      <t>ノ</t>
    </rPh>
    <rPh sb="35" eb="38">
      <t>ユカメンセキ</t>
    </rPh>
    <phoneticPr fontId="23"/>
  </si>
  <si>
    <t>再調達価額</t>
    <rPh sb="0" eb="3">
      <t>サイチョウタツ</t>
    </rPh>
    <rPh sb="3" eb="5">
      <t>カガク</t>
    </rPh>
    <phoneticPr fontId="23"/>
  </si>
  <si>
    <t>θ</t>
    <phoneticPr fontId="24"/>
  </si>
  <si>
    <t>=(新築単価)*{(2DKの住戸面積)/(ネット率)}</t>
    <rPh sb="2" eb="6">
      <t>シンチクタンカ</t>
    </rPh>
    <phoneticPr fontId="23"/>
  </si>
  <si>
    <t>建物の複成価格</t>
    <rPh sb="0" eb="2">
      <t>タテモノ</t>
    </rPh>
    <rPh sb="3" eb="5">
      <t>フクセイ</t>
    </rPh>
    <rPh sb="5" eb="7">
      <t>カカク</t>
    </rPh>
    <phoneticPr fontId="23"/>
  </si>
  <si>
    <t>A'</t>
    <phoneticPr fontId="24"/>
  </si>
  <si>
    <t>=α*a-α*a*b/Y*K</t>
    <phoneticPr fontId="24"/>
  </si>
  <si>
    <t>複成価格×利回り</t>
    <rPh sb="0" eb="2">
      <t>フクセイ</t>
    </rPh>
    <rPh sb="2" eb="4">
      <t>カカク</t>
    </rPh>
    <rPh sb="5" eb="7">
      <t>リマワ</t>
    </rPh>
    <phoneticPr fontId="23"/>
  </si>
  <si>
    <t>A</t>
    <phoneticPr fontId="24"/>
  </si>
  <si>
    <t>千円/戸・年</t>
    <rPh sb="0" eb="2">
      <t>センエン</t>
    </rPh>
    <rPh sb="3" eb="4">
      <t>コ</t>
    </rPh>
    <rPh sb="5" eb="6">
      <t>ネン</t>
    </rPh>
    <phoneticPr fontId="24"/>
  </si>
  <si>
    <t>=A'*0.03+β*0.02</t>
    <phoneticPr fontId="24"/>
  </si>
  <si>
    <t>償却費</t>
    <rPh sb="0" eb="2">
      <t>ショウキャク</t>
    </rPh>
    <rPh sb="2" eb="3">
      <t>ヒ</t>
    </rPh>
    <phoneticPr fontId="23"/>
  </si>
  <si>
    <t>B</t>
    <phoneticPr fontId="24"/>
  </si>
  <si>
    <t>=(α-α*c)/Y</t>
    <phoneticPr fontId="24"/>
  </si>
  <si>
    <t>修繕費</t>
    <rPh sb="0" eb="3">
      <t>シュウゼンヒ</t>
    </rPh>
    <phoneticPr fontId="23"/>
  </si>
  <si>
    <t>C</t>
    <phoneticPr fontId="24"/>
  </si>
  <si>
    <t>=α*a*d</t>
    <phoneticPr fontId="24"/>
  </si>
  <si>
    <t>管理事務費</t>
    <rPh sb="0" eb="2">
      <t>カンリ</t>
    </rPh>
    <rPh sb="2" eb="5">
      <t>ジムヒ</t>
    </rPh>
    <phoneticPr fontId="23"/>
  </si>
  <si>
    <t>D</t>
    <phoneticPr fontId="24"/>
  </si>
  <si>
    <t>=α*a*e</t>
    <phoneticPr fontId="24"/>
  </si>
  <si>
    <t>損害保険料</t>
    <rPh sb="0" eb="2">
      <t>ソンガイ</t>
    </rPh>
    <rPh sb="2" eb="5">
      <t>ホケンリョウ</t>
    </rPh>
    <phoneticPr fontId="23"/>
  </si>
  <si>
    <t>E</t>
    <phoneticPr fontId="24"/>
  </si>
  <si>
    <t>=θ*f</t>
    <phoneticPr fontId="24"/>
  </si>
  <si>
    <t>公課</t>
    <rPh sb="0" eb="2">
      <t>コウカ</t>
    </rPh>
    <phoneticPr fontId="23"/>
  </si>
  <si>
    <t>F</t>
    <phoneticPr fontId="24"/>
  </si>
  <si>
    <t>貸倒・空家引当金</t>
    <rPh sb="0" eb="2">
      <t>カシダオ</t>
    </rPh>
    <rPh sb="3" eb="5">
      <t>アキヤ</t>
    </rPh>
    <rPh sb="5" eb="7">
      <t>ヒキアテ</t>
    </rPh>
    <rPh sb="7" eb="8">
      <t>キン</t>
    </rPh>
    <phoneticPr fontId="23"/>
  </si>
  <si>
    <t>G</t>
    <phoneticPr fontId="24"/>
  </si>
  <si>
    <t>=(A+B+C+D+E+F)*2/100</t>
    <phoneticPr fontId="24"/>
  </si>
  <si>
    <t>2DK住戸の近傍同種家賃</t>
    <rPh sb="6" eb="8">
      <t>キンボウ</t>
    </rPh>
    <rPh sb="8" eb="10">
      <t>ドウシュ</t>
    </rPh>
    <rPh sb="10" eb="12">
      <t>ヤチン</t>
    </rPh>
    <phoneticPr fontId="23"/>
  </si>
  <si>
    <t>千円/戸・月</t>
    <rPh sb="0" eb="2">
      <t>センエン</t>
    </rPh>
    <rPh sb="5" eb="6">
      <t>ツキ</t>
    </rPh>
    <phoneticPr fontId="23"/>
  </si>
  <si>
    <t>=(A+B+C+D+E+F+G)/12</t>
    <phoneticPr fontId="24"/>
  </si>
  <si>
    <t>計算：3DK住戸</t>
    <rPh sb="0" eb="2">
      <t>ケイサン</t>
    </rPh>
    <rPh sb="6" eb="8">
      <t>ジュウコ</t>
    </rPh>
    <phoneticPr fontId="23"/>
  </si>
  <si>
    <t>={(3DKの住戸面積)/(ネット率)}*(㎡あたり建設費)*(100%+消費税)</t>
    <rPh sb="17" eb="18">
      <t>リツ</t>
    </rPh>
    <phoneticPr fontId="23"/>
  </si>
  <si>
    <t>=(敷地購入費)*70%*{(3DKの住戸面積)/(ネット率)}/(延床面積)</t>
    <rPh sb="2" eb="7">
      <t>シキチコウニュウヒ</t>
    </rPh>
    <rPh sb="34" eb="35">
      <t>ノ</t>
    </rPh>
    <rPh sb="35" eb="38">
      <t>ユカメンセキ</t>
    </rPh>
    <phoneticPr fontId="23"/>
  </si>
  <si>
    <t>3DK住戸の近傍同種家賃</t>
    <rPh sb="6" eb="8">
      <t>キンボウ</t>
    </rPh>
    <rPh sb="8" eb="10">
      <t>ドウシュ</t>
    </rPh>
    <rPh sb="10" eb="12">
      <t>ヤチン</t>
    </rPh>
    <phoneticPr fontId="23"/>
  </si>
  <si>
    <t>中島中学校跡地を想定</t>
    <rPh sb="0" eb="2">
      <t>ナカジマ</t>
    </rPh>
    <rPh sb="2" eb="5">
      <t>チュウガッコウ</t>
    </rPh>
    <rPh sb="5" eb="7">
      <t>アトチ</t>
    </rPh>
    <phoneticPr fontId="23"/>
  </si>
  <si>
    <t>中島中学校跡地を想定</t>
    <phoneticPr fontId="23"/>
  </si>
  <si>
    <t>中島中学校跡地を想定</t>
    <rPh sb="0" eb="2">
      <t>ナカジマ</t>
    </rPh>
    <rPh sb="2" eb="5">
      <t>チュウガッコウ</t>
    </rPh>
    <rPh sb="5" eb="7">
      <t>アトチ</t>
    </rPh>
    <rPh sb="8" eb="10">
      <t>ソウテイ</t>
    </rPh>
    <phoneticPr fontId="23"/>
  </si>
  <si>
    <t>石川県七尾市中島町中島八４３番１</t>
    <phoneticPr fontId="3"/>
  </si>
  <si>
    <t>標準建設費（令和7年度　主体附帯工事費　準耐火造平屋建て・豪雪地帯・地域5）</t>
    <rPh sb="0" eb="5">
      <t>ヒョウジュンケンセツヒ</t>
    </rPh>
    <rPh sb="6" eb="8">
      <t>レイワ</t>
    </rPh>
    <rPh sb="9" eb="11">
      <t>ネンド</t>
    </rPh>
    <rPh sb="20" eb="23">
      <t>ジュンタイカ</t>
    </rPh>
    <rPh sb="23" eb="24">
      <t>ゾウ</t>
    </rPh>
    <rPh sb="24" eb="27">
      <t>ヒラヤダ</t>
    </rPh>
    <rPh sb="29" eb="33">
      <t>ゴウセツチタイ</t>
    </rPh>
    <rPh sb="34" eb="36">
      <t>チイキ</t>
    </rPh>
    <phoneticPr fontId="23"/>
  </si>
  <si>
    <r>
      <t>施行規則第20条で</t>
    </r>
    <r>
      <rPr>
        <b/>
        <sz val="10"/>
        <color rgb="FFC00000"/>
        <rFont val="ＭＳ Ｐゴシック"/>
        <family val="3"/>
        <charset val="128"/>
      </rPr>
      <t>準耐火以上は0.8</t>
    </r>
    <r>
      <rPr>
        <sz val="10"/>
        <rFont val="ＭＳ Ｐゴシック"/>
        <family val="3"/>
        <charset val="128"/>
      </rPr>
      <t>、木造は0.9</t>
    </r>
    <phoneticPr fontId="23"/>
  </si>
  <si>
    <r>
      <t>施行規則第22条で</t>
    </r>
    <r>
      <rPr>
        <b/>
        <sz val="10"/>
        <color rgb="FFC00000"/>
        <rFont val="ＭＳ Ｐゴシック"/>
        <family val="3"/>
        <charset val="128"/>
      </rPr>
      <t>準耐火以上は0.2</t>
    </r>
    <r>
      <rPr>
        <sz val="10"/>
        <rFont val="ＭＳ Ｐゴシック"/>
        <family val="3"/>
        <charset val="128"/>
      </rPr>
      <t>、木造は0.1</t>
    </r>
    <phoneticPr fontId="23"/>
  </si>
  <si>
    <r>
      <t>施行令第3条第3項で耐火は1.2％、</t>
    </r>
    <r>
      <rPr>
        <b/>
        <sz val="10"/>
        <color rgb="FFC00000"/>
        <rFont val="ＭＳ Ｐゴシック"/>
        <family val="3"/>
        <charset val="128"/>
      </rPr>
      <t>準耐火は1.5％</t>
    </r>
    <r>
      <rPr>
        <sz val="10"/>
        <rFont val="ＭＳ Ｐゴシック"/>
        <family val="3"/>
        <charset val="128"/>
      </rPr>
      <t>、木造は2.2％</t>
    </r>
    <phoneticPr fontId="23"/>
  </si>
  <si>
    <r>
      <t>施行令第3条第3項で耐火は0.15％、</t>
    </r>
    <r>
      <rPr>
        <b/>
        <sz val="10"/>
        <color rgb="FFC00000"/>
        <rFont val="ＭＳ Ｐゴシック"/>
        <family val="3"/>
        <charset val="128"/>
      </rPr>
      <t>準耐火は0.2％</t>
    </r>
    <r>
      <rPr>
        <sz val="10"/>
        <rFont val="ＭＳ Ｐゴシック"/>
        <family val="3"/>
        <charset val="128"/>
      </rPr>
      <t>、木造は0.31％</t>
    </r>
    <phoneticPr fontId="23"/>
  </si>
  <si>
    <r>
      <t>木造は30、</t>
    </r>
    <r>
      <rPr>
        <b/>
        <sz val="10"/>
        <color rgb="FFC00000"/>
        <rFont val="ＭＳ Ｐゴシック"/>
        <family val="3"/>
        <charset val="128"/>
      </rPr>
      <t>準耐火構造は45</t>
    </r>
    <r>
      <rPr>
        <sz val="10"/>
        <rFont val="ＭＳ Ｐゴシック"/>
        <family val="3"/>
        <charset val="128"/>
      </rPr>
      <t>、耐火構造は70</t>
    </r>
    <rPh sb="0" eb="2">
      <t>モクゾウ</t>
    </rPh>
    <rPh sb="6" eb="11">
      <t>ジュンタイカコウゾウ</t>
    </rPh>
    <rPh sb="15" eb="19">
      <t>タイカコウゾウ</t>
    </rPh>
    <phoneticPr fontId="23"/>
  </si>
  <si>
    <r>
      <t>施行規則第20条で準耐火以上は0.8、</t>
    </r>
    <r>
      <rPr>
        <b/>
        <sz val="10"/>
        <color rgb="FFC00000"/>
        <rFont val="ＭＳ Ｐゴシック"/>
        <family val="3"/>
        <charset val="128"/>
      </rPr>
      <t>木造は0.9</t>
    </r>
    <phoneticPr fontId="23"/>
  </si>
  <si>
    <r>
      <t>施行規則第22条で準耐火以上は0.2、</t>
    </r>
    <r>
      <rPr>
        <b/>
        <sz val="10"/>
        <color rgb="FFC00000"/>
        <rFont val="ＭＳ Ｐゴシック"/>
        <family val="3"/>
        <charset val="128"/>
      </rPr>
      <t>木造は0.1</t>
    </r>
    <phoneticPr fontId="23"/>
  </si>
  <si>
    <r>
      <t>施行令第3条第3項で耐火は1.2％、準耐火は1.5％、</t>
    </r>
    <r>
      <rPr>
        <b/>
        <sz val="10"/>
        <color rgb="FFC00000"/>
        <rFont val="ＭＳ Ｐゴシック"/>
        <family val="3"/>
        <charset val="128"/>
      </rPr>
      <t>木造は2.2％</t>
    </r>
    <phoneticPr fontId="23"/>
  </si>
  <si>
    <r>
      <t>施行令第3条第3項で耐火は0.15％、準耐火は0.2％、</t>
    </r>
    <r>
      <rPr>
        <b/>
        <sz val="10"/>
        <color rgb="FFC00000"/>
        <rFont val="ＭＳ Ｐゴシック"/>
        <family val="3"/>
        <charset val="128"/>
      </rPr>
      <t>木造は0.31％</t>
    </r>
    <phoneticPr fontId="23"/>
  </si>
  <si>
    <r>
      <rPr>
        <b/>
        <sz val="10"/>
        <color rgb="FFC00000"/>
        <rFont val="ＭＳ Ｐゴシック"/>
        <family val="3"/>
        <charset val="128"/>
      </rPr>
      <t>木造は30</t>
    </r>
    <r>
      <rPr>
        <sz val="10"/>
        <rFont val="ＭＳ Ｐゴシック"/>
        <family val="3"/>
        <charset val="128"/>
      </rPr>
      <t>、準耐火構造は45、耐火構造は70</t>
    </r>
    <rPh sb="0" eb="2">
      <t>モクゾウ</t>
    </rPh>
    <rPh sb="6" eb="11">
      <t>ジュンタイカコウゾウ</t>
    </rPh>
    <rPh sb="15" eb="19">
      <t>タイカコウゾウ</t>
    </rPh>
    <phoneticPr fontId="23"/>
  </si>
  <si>
    <t>七尾5-5（令和6年7月1日）　石川県七尾市中島町中島八４３番１</t>
    <rPh sb="0" eb="2">
      <t>ナナオ</t>
    </rPh>
    <rPh sb="6" eb="8">
      <t>レイワ</t>
    </rPh>
    <rPh sb="9" eb="10">
      <t>ネン</t>
    </rPh>
    <rPh sb="11" eb="12">
      <t>ガツ</t>
    </rPh>
    <rPh sb="13" eb="14">
      <t>ニチ</t>
    </rPh>
    <phoneticPr fontId="23"/>
  </si>
  <si>
    <r>
      <t>施行令第3条第3項で</t>
    </r>
    <r>
      <rPr>
        <b/>
        <sz val="10"/>
        <color rgb="FFC00000"/>
        <rFont val="ＭＳ Ｐゴシック"/>
        <family val="3"/>
        <charset val="128"/>
      </rPr>
      <t>耐火は1.2％</t>
    </r>
    <r>
      <rPr>
        <sz val="10"/>
        <rFont val="ＭＳ Ｐゴシック"/>
        <family val="3"/>
        <charset val="128"/>
      </rPr>
      <t>、準耐火は1.5％、木造は2.2％</t>
    </r>
    <phoneticPr fontId="23"/>
  </si>
  <si>
    <r>
      <t>施行令第3条第3項で</t>
    </r>
    <r>
      <rPr>
        <b/>
        <sz val="10"/>
        <color rgb="FFC00000"/>
        <rFont val="ＭＳ Ｐゴシック"/>
        <family val="3"/>
        <charset val="128"/>
      </rPr>
      <t>耐火は0.15％</t>
    </r>
    <r>
      <rPr>
        <sz val="10"/>
        <rFont val="ＭＳ Ｐゴシック"/>
        <family val="3"/>
        <charset val="128"/>
      </rPr>
      <t>、準耐火は0.2％、木造は0.31％</t>
    </r>
    <phoneticPr fontId="23"/>
  </si>
  <si>
    <r>
      <t>木造は30、準耐火構造は45、</t>
    </r>
    <r>
      <rPr>
        <b/>
        <sz val="10"/>
        <color rgb="FFC00000"/>
        <rFont val="ＭＳ Ｐゴシック"/>
        <family val="3"/>
        <charset val="128"/>
      </rPr>
      <t>耐火構造は70</t>
    </r>
    <rPh sb="0" eb="2">
      <t>モクゾウ</t>
    </rPh>
    <rPh sb="6" eb="11">
      <t>ジュンタイカコウゾウ</t>
    </rPh>
    <rPh sb="15" eb="19">
      <t>タイカコウゾウ</t>
    </rPh>
    <phoneticPr fontId="23"/>
  </si>
  <si>
    <r>
      <t>=A'*0.6*1/2*(0.015+0.003)+β*(0.015*1/6+0.003*1/3)　</t>
    </r>
    <r>
      <rPr>
        <sz val="10"/>
        <color rgb="FFFF0000"/>
        <rFont val="ＭＳ Ｐゴシック"/>
        <family val="3"/>
        <charset val="128"/>
      </rPr>
      <t>※都市計画税0.3%</t>
    </r>
    <phoneticPr fontId="24"/>
  </si>
  <si>
    <r>
      <t>=A'*0.6*1/2*(0.015)+β*(0.015*1/6)　</t>
    </r>
    <r>
      <rPr>
        <sz val="10"/>
        <color rgb="FFFF0000"/>
        <rFont val="ＭＳ Ｐゴシック"/>
        <family val="3"/>
        <charset val="128"/>
      </rPr>
      <t>※都市計画税なし</t>
    </r>
    <rPh sb="35" eb="40">
      <t>トシケイカクゼイ</t>
    </rPh>
    <phoneticPr fontId="24"/>
  </si>
  <si>
    <t>区分</t>
    <rPh sb="0" eb="2">
      <t>クブン</t>
    </rPh>
    <phoneticPr fontId="3"/>
  </si>
  <si>
    <t>一般入居</t>
    <rPh sb="0" eb="2">
      <t>イッパン</t>
    </rPh>
    <rPh sb="2" eb="4">
      <t>ニュウキョ</t>
    </rPh>
    <phoneticPr fontId="3"/>
  </si>
  <si>
    <t>収入超過者</t>
    <rPh sb="0" eb="2">
      <t>シュウニュウ</t>
    </rPh>
    <rPh sb="2" eb="4">
      <t>チョウカ</t>
    </rPh>
    <rPh sb="4" eb="5">
      <t>シャ</t>
    </rPh>
    <phoneticPr fontId="3"/>
  </si>
  <si>
    <t>高額所得者</t>
    <rPh sb="0" eb="2">
      <t>コウガク</t>
    </rPh>
    <rPh sb="2" eb="5">
      <t>ショトクシャ</t>
    </rPh>
    <phoneticPr fontId="3"/>
  </si>
  <si>
    <t>（非表示）自動計算シート</t>
    <rPh sb="1" eb="4">
      <t>ヒヒョウジ</t>
    </rPh>
    <rPh sb="5" eb="7">
      <t>ジドウ</t>
    </rPh>
    <rPh sb="7" eb="9">
      <t>ケイサン</t>
    </rPh>
    <phoneticPr fontId="3"/>
  </si>
  <si>
    <t>復興公営住宅に入居を希望する入居者・同居者全員について、年齢、ひとり親等の該当状況、障害の有無、年間の収入等を記入してください。</t>
    <rPh sb="0" eb="6">
      <t>フッコウコウエイジュウタク</t>
    </rPh>
    <rPh sb="7" eb="9">
      <t>ニュウキョ</t>
    </rPh>
    <rPh sb="10" eb="12">
      <t>キボウ</t>
    </rPh>
    <rPh sb="14" eb="17">
      <t>ニュウキョシャ</t>
    </rPh>
    <rPh sb="18" eb="21">
      <t>ドウキョシャ</t>
    </rPh>
    <rPh sb="21" eb="23">
      <t>ゼンイン</t>
    </rPh>
    <rPh sb="28" eb="30">
      <t>ネンレイ</t>
    </rPh>
    <rPh sb="34" eb="36">
      <t>オヤトウ</t>
    </rPh>
    <rPh sb="37" eb="41">
      <t>ガイトウジョウキョウ</t>
    </rPh>
    <rPh sb="42" eb="44">
      <t>ショウガイ</t>
    </rPh>
    <rPh sb="45" eb="47">
      <t>ウム</t>
    </rPh>
    <rPh sb="48" eb="50">
      <t>ネンカン</t>
    </rPh>
    <rPh sb="51" eb="54">
      <t>シュウニュウトウ</t>
    </rPh>
    <rPh sb="55" eb="57">
      <t>キニュウ</t>
    </rPh>
    <phoneticPr fontId="3"/>
  </si>
  <si>
    <t>ひとり親等の該当状況(※1)</t>
    <rPh sb="3" eb="4">
      <t>オヤ</t>
    </rPh>
    <rPh sb="4" eb="5">
      <t>トウ</t>
    </rPh>
    <rPh sb="6" eb="8">
      <t>ガイトウ</t>
    </rPh>
    <rPh sb="8" eb="10">
      <t>ジョウキョウ</t>
    </rPh>
    <phoneticPr fontId="3"/>
  </si>
  <si>
    <t>【注意事項】　このツールは家賃の金額の目安を把握するために、簡易なシミュレーションツールとして作成したものです。</t>
    <rPh sb="1" eb="3">
      <t>チュウイ</t>
    </rPh>
    <rPh sb="3" eb="5">
      <t>ジコウ</t>
    </rPh>
    <rPh sb="13" eb="15">
      <t>ヤチン</t>
    </rPh>
    <rPh sb="19" eb="21">
      <t>メヤス</t>
    </rPh>
    <rPh sb="47" eb="49">
      <t>サクセイ</t>
    </rPh>
    <phoneticPr fontId="3"/>
  </si>
  <si>
    <t>　　　　　　実際に入居する場合の家賃は、復興公営住宅の申込みを行った後に確定します。</t>
    <rPh sb="6" eb="8">
      <t>ジッサイ</t>
    </rPh>
    <rPh sb="9" eb="11">
      <t>ニュウキョ</t>
    </rPh>
    <rPh sb="13" eb="15">
      <t>バアイ</t>
    </rPh>
    <phoneticPr fontId="3"/>
  </si>
  <si>
    <t>復興公営住宅に入居を希望する入居者・同居者について、次の２つの質問に答えてください。</t>
    <rPh sb="26" eb="27">
      <t>ツギ</t>
    </rPh>
    <rPh sb="31" eb="33">
      <t>シツモン</t>
    </rPh>
    <rPh sb="34" eb="35">
      <t>コタ</t>
    </rPh>
    <phoneticPr fontId="3"/>
  </si>
  <si>
    <t>★ 裁量階層の判定</t>
    <rPh sb="2" eb="6">
      <t>サイリョウカイソウ</t>
    </rPh>
    <rPh sb="7" eb="9">
      <t>ハンテイ</t>
    </rPh>
    <phoneticPr fontId="3"/>
  </si>
  <si>
    <t>黄色背景のセル</t>
    <rPh sb="0" eb="2">
      <t>キイロ</t>
    </rPh>
    <rPh sb="2" eb="4">
      <t>ハイケイ</t>
    </rPh>
    <phoneticPr fontId="3"/>
  </si>
  <si>
    <t>では、回答をプルダウンメニューから選択してください。</t>
    <rPh sb="3" eb="5">
      <t>カイトウ</t>
    </rPh>
    <rPh sb="17" eb="19">
      <t>センタク</t>
    </rPh>
    <phoneticPr fontId="3"/>
  </si>
  <si>
    <t>には、数値を入力してください。</t>
    <rPh sb="3" eb="5">
      <t>スウチ</t>
    </rPh>
    <rPh sb="6" eb="8">
      <t>ニュウリョク</t>
    </rPh>
    <phoneticPr fontId="3"/>
  </si>
  <si>
    <t>水色背景のセル</t>
    <rPh sb="0" eb="1">
      <t>ミズ</t>
    </rPh>
    <rPh sb="1" eb="2">
      <t>イロ</t>
    </rPh>
    <rPh sb="2" eb="4">
      <t>ハイケイ</t>
    </rPh>
    <phoneticPr fontId="3"/>
  </si>
  <si>
    <t>① 入居者・同居者に関する情報の入力（個人）</t>
    <rPh sb="2" eb="4">
      <t>ニュウキョ</t>
    </rPh>
    <rPh sb="4" eb="5">
      <t>シャ</t>
    </rPh>
    <rPh sb="6" eb="9">
      <t>ドウキョシャ</t>
    </rPh>
    <rPh sb="10" eb="11">
      <t>カン</t>
    </rPh>
    <rPh sb="13" eb="15">
      <t>ジョウホウ</t>
    </rPh>
    <rPh sb="16" eb="18">
      <t>ニュウリョク</t>
    </rPh>
    <rPh sb="19" eb="21">
      <t>コジン</t>
    </rPh>
    <phoneticPr fontId="3"/>
  </si>
  <si>
    <t>② 入居者・同居者に関する情報の入力（世帯）</t>
    <rPh sb="2" eb="4">
      <t>ニュウキョ</t>
    </rPh>
    <rPh sb="4" eb="5">
      <t>シャ</t>
    </rPh>
    <rPh sb="6" eb="9">
      <t>ドウキョシャ</t>
    </rPh>
    <rPh sb="10" eb="11">
      <t>カン</t>
    </rPh>
    <rPh sb="13" eb="15">
      <t>ジョウホウ</t>
    </rPh>
    <rPh sb="16" eb="18">
      <t>ニュウリョク</t>
    </rPh>
    <rPh sb="19" eb="21">
      <t>セタイ</t>
    </rPh>
    <phoneticPr fontId="3"/>
  </si>
  <si>
    <t>で、回答をプルダウンメニューから選択してください。</t>
    <rPh sb="2" eb="4">
      <t>カイトウ</t>
    </rPh>
    <rPh sb="16" eb="18">
      <t>センタク</t>
    </rPh>
    <phoneticPr fontId="3"/>
  </si>
  <si>
    <t>③ 世帯に関する情報の入力</t>
    <rPh sb="2" eb="4">
      <t>セタイ</t>
    </rPh>
    <rPh sb="5" eb="6">
      <t>カン</t>
    </rPh>
    <rPh sb="8" eb="10">
      <t>ジョウホウ</t>
    </rPh>
    <rPh sb="11" eb="13">
      <t>ニュウリョク</t>
    </rPh>
    <phoneticPr fontId="3"/>
  </si>
  <si>
    <t>に、数値を入力してください。</t>
    <rPh sb="2" eb="4">
      <t>スウチ</t>
    </rPh>
    <rPh sb="5" eb="7">
      <t>ニュウリョク</t>
    </rPh>
    <phoneticPr fontId="3"/>
  </si>
  <si>
    <t>④ 希望する住戸タイプの入力</t>
    <rPh sb="2" eb="4">
      <t>キボウ</t>
    </rPh>
    <rPh sb="6" eb="8">
      <t>ジュウコ</t>
    </rPh>
    <rPh sb="12" eb="14">
      <t>ニュウリョク</t>
    </rPh>
    <phoneticPr fontId="3"/>
  </si>
  <si>
    <t>回答</t>
    <rPh sb="0" eb="2">
      <t>カイトウ</t>
    </rPh>
    <phoneticPr fontId="3"/>
  </si>
  <si>
    <t>＜整備予定の住戸タイプ＞</t>
    <rPh sb="1" eb="5">
      <t>セイビヨテイ</t>
    </rPh>
    <rPh sb="6" eb="8">
      <t>ジュウコ</t>
    </rPh>
    <phoneticPr fontId="3"/>
  </si>
  <si>
    <t>七尾市では、下表に示す2種類の住戸を整備予定です。どちらの住戸タイプへ入居を希望するかを答えてください。</t>
    <rPh sb="0" eb="3">
      <t>ナナオシ</t>
    </rPh>
    <rPh sb="6" eb="8">
      <t>カヒョウ</t>
    </rPh>
    <rPh sb="9" eb="10">
      <t>シメ</t>
    </rPh>
    <rPh sb="12" eb="14">
      <t>シュルイ</t>
    </rPh>
    <rPh sb="15" eb="17">
      <t>ジュウコ</t>
    </rPh>
    <rPh sb="18" eb="20">
      <t>セイビ</t>
    </rPh>
    <rPh sb="20" eb="22">
      <t>ヨテイ</t>
    </rPh>
    <rPh sb="29" eb="31">
      <t>ジュウコ</t>
    </rPh>
    <rPh sb="35" eb="37">
      <t>ニュウキョ</t>
    </rPh>
    <rPh sb="38" eb="40">
      <t>キボウ</t>
    </rPh>
    <rPh sb="44" eb="45">
      <t>コタ</t>
    </rPh>
    <phoneticPr fontId="3"/>
  </si>
  <si>
    <t>非該当</t>
    <rPh sb="0" eb="3">
      <t>ヒガイトウ</t>
    </rPh>
    <phoneticPr fontId="3"/>
  </si>
  <si>
    <t>①～④に必要な情報を入力いただくと、★に家賃の試算結果が表示されます。</t>
    <rPh sb="4" eb="6">
      <t>ヒツヨウ</t>
    </rPh>
    <rPh sb="7" eb="9">
      <t>ジョウホウ</t>
    </rPh>
    <rPh sb="10" eb="12">
      <t>ニュウリョク</t>
    </rPh>
    <rPh sb="20" eb="22">
      <t>ヤチン</t>
    </rPh>
    <rPh sb="23" eb="27">
      <t>シサンケッカ</t>
    </rPh>
    <rPh sb="28" eb="30">
      <t>ヒョウジ</t>
    </rPh>
    <phoneticPr fontId="3"/>
  </si>
  <si>
    <t>入居4年目</t>
    <rPh sb="0" eb="2">
      <t>ニュウキョ</t>
    </rPh>
    <rPh sb="3" eb="5">
      <t>ネンメ</t>
    </rPh>
    <phoneticPr fontId="3"/>
  </si>
  <si>
    <t>入居5年目</t>
    <rPh sb="0" eb="2">
      <t>ニュウキョ</t>
    </rPh>
    <rPh sb="3" eb="5">
      <t>ネンメ</t>
    </rPh>
    <phoneticPr fontId="3"/>
  </si>
  <si>
    <t>入居6年目</t>
    <rPh sb="0" eb="2">
      <t>ニュウキョ</t>
    </rPh>
    <rPh sb="3" eb="5">
      <t>ネンメ</t>
    </rPh>
    <phoneticPr fontId="3"/>
  </si>
  <si>
    <t>入居7年目</t>
    <rPh sb="0" eb="2">
      <t>ニュウキョ</t>
    </rPh>
    <rPh sb="3" eb="5">
      <t>ネンメ</t>
    </rPh>
    <phoneticPr fontId="3"/>
  </si>
  <si>
    <t>政令８条２項の率</t>
    <rPh sb="0" eb="2">
      <t>セイレイ</t>
    </rPh>
    <rPh sb="3" eb="4">
      <t>ジョウ</t>
    </rPh>
    <rPh sb="5" eb="6">
      <t>コウ</t>
    </rPh>
    <rPh sb="7" eb="8">
      <t>リツ</t>
    </rPh>
    <phoneticPr fontId="3"/>
  </si>
  <si>
    <t>参照用の数字</t>
    <rPh sb="0" eb="3">
      <t>サンショウヨウ</t>
    </rPh>
    <rPh sb="4" eb="6">
      <t>スウジ</t>
    </rPh>
    <phoneticPr fontId="3"/>
  </si>
  <si>
    <t>★ 家賃（月額）の試算結果</t>
    <rPh sb="2" eb="4">
      <t>ヤチン</t>
    </rPh>
    <rPh sb="5" eb="7">
      <t>ゲツガク</t>
    </rPh>
    <rPh sb="9" eb="11">
      <t>シサン</t>
    </rPh>
    <rPh sb="11" eb="13">
      <t>ケッカ</t>
    </rPh>
    <phoneticPr fontId="3"/>
  </si>
  <si>
    <t>入居8年目以降</t>
    <rPh sb="0" eb="2">
      <t>ニュウキョ</t>
    </rPh>
    <rPh sb="3" eb="5">
      <t>ネンメ</t>
    </rPh>
    <rPh sb="5" eb="7">
      <t>イコウ</t>
    </rPh>
    <phoneticPr fontId="3"/>
  </si>
  <si>
    <t>AK</t>
    <phoneticPr fontId="3"/>
  </si>
  <si>
    <t>AL</t>
    <phoneticPr fontId="3"/>
  </si>
  <si>
    <t>AM</t>
    <phoneticPr fontId="3"/>
  </si>
  <si>
    <t>家賃（月額）</t>
    <rPh sb="0" eb="2">
      <t>ヤチン</t>
    </rPh>
    <rPh sb="3" eb="5">
      <t>ゲツガク</t>
    </rPh>
    <phoneticPr fontId="3"/>
  </si>
  <si>
    <t>入居年数</t>
    <rPh sb="0" eb="4">
      <t>ニュウキョネンスウ</t>
    </rPh>
    <phoneticPr fontId="3"/>
  </si>
  <si>
    <t>1年目</t>
    <rPh sb="1" eb="3">
      <t>ネンメ</t>
    </rPh>
    <phoneticPr fontId="3"/>
  </si>
  <si>
    <t>2年目</t>
    <rPh sb="1" eb="3">
      <t>ネンメ</t>
    </rPh>
    <phoneticPr fontId="3"/>
  </si>
  <si>
    <t>3年目</t>
    <rPh sb="1" eb="3">
      <t>ネンメ</t>
    </rPh>
    <phoneticPr fontId="3"/>
  </si>
  <si>
    <t>4年目</t>
    <rPh sb="1" eb="3">
      <t>ネンメ</t>
    </rPh>
    <phoneticPr fontId="3"/>
  </si>
  <si>
    <t>5年目</t>
    <rPh sb="1" eb="3">
      <t>ネンメ</t>
    </rPh>
    <phoneticPr fontId="3"/>
  </si>
  <si>
    <t>6年目</t>
    <rPh sb="1" eb="3">
      <t>ネンメ</t>
    </rPh>
    <phoneticPr fontId="3"/>
  </si>
  <si>
    <t>7年目</t>
    <rPh sb="1" eb="3">
      <t>ネンメ</t>
    </rPh>
    <phoneticPr fontId="3"/>
  </si>
  <si>
    <t>8年目</t>
    <rPh sb="1" eb="3">
      <t>ネンメ</t>
    </rPh>
    <phoneticPr fontId="3"/>
  </si>
  <si>
    <t>9年目</t>
    <rPh sb="1" eb="3">
      <t>ネンメ</t>
    </rPh>
    <phoneticPr fontId="3"/>
  </si>
  <si>
    <t>10年目</t>
    <rPh sb="2" eb="4">
      <t>ネンメ</t>
    </rPh>
    <phoneticPr fontId="3"/>
  </si>
  <si>
    <t>15年目</t>
    <rPh sb="2" eb="4">
      <t>ネンメ</t>
    </rPh>
    <phoneticPr fontId="3"/>
  </si>
  <si>
    <t>20年目</t>
    <rPh sb="2" eb="4">
      <t>ネンメ</t>
    </rPh>
    <phoneticPr fontId="3"/>
  </si>
  <si>
    <t>【参考】支払総額
（年終了時）</t>
    <rPh sb="1" eb="3">
      <t>サンコウ</t>
    </rPh>
    <rPh sb="4" eb="8">
      <t>シハライソウガク</t>
    </rPh>
    <phoneticPr fontId="3"/>
  </si>
  <si>
    <t>11年目</t>
    <rPh sb="2" eb="4">
      <t>ネンメ</t>
    </rPh>
    <phoneticPr fontId="3"/>
  </si>
  <si>
    <t>12年目</t>
    <rPh sb="2" eb="4">
      <t>ネンメ</t>
    </rPh>
    <phoneticPr fontId="3"/>
  </si>
  <si>
    <t>13年目</t>
    <rPh sb="2" eb="4">
      <t>ネンメ</t>
    </rPh>
    <phoneticPr fontId="3"/>
  </si>
  <si>
    <t>14年目</t>
    <rPh sb="2" eb="4">
      <t>ネンメ</t>
    </rPh>
    <phoneticPr fontId="3"/>
  </si>
  <si>
    <t>16年目</t>
    <rPh sb="2" eb="4">
      <t>ネンメ</t>
    </rPh>
    <phoneticPr fontId="3"/>
  </si>
  <si>
    <t>17年目</t>
    <rPh sb="2" eb="4">
      <t>ネンメ</t>
    </rPh>
    <phoneticPr fontId="3"/>
  </si>
  <si>
    <t>18年目</t>
    <rPh sb="2" eb="4">
      <t>ネンメ</t>
    </rPh>
    <phoneticPr fontId="3"/>
  </si>
  <si>
    <t>19年目</t>
    <rPh sb="2" eb="4">
      <t>ネンメ</t>
    </rPh>
    <phoneticPr fontId="3"/>
  </si>
  <si>
    <t>↓</t>
    <phoneticPr fontId="3"/>
  </si>
  <si>
    <t>　　（その者の給与所得等の金額の合計額が十万円未満である場合には、当該合計額）</t>
  </si>
  <si>
    <t>　　（その者が同項第二十九号に規定する特別障害者である場合には、四十万円）</t>
  </si>
  <si>
    <t>　　（その者の所得金額からイの規定により控除する金額を控除した残額が三十五万円未満である場合には、当該残額）</t>
    <phoneticPr fontId="3"/>
  </si>
  <si>
    <t>　　（その者の所得金額からイの規定により控除する金額を控除した残額が二十七万円未満である場合には、当該残額）</t>
    <phoneticPr fontId="3"/>
  </si>
  <si>
    <r>
      <t>ロ</t>
    </r>
    <r>
      <rPr>
        <sz val="9"/>
        <color rgb="FF000000"/>
        <rFont val="BIZ UDゴシック"/>
        <family val="3"/>
        <charset val="128"/>
      </rPr>
      <t>　同居者 又は 同一生計配偶者若しくは扶養親族で入居者及び同居者以外のもの</t>
    </r>
    <r>
      <rPr>
        <b/>
        <sz val="9"/>
        <color rgb="FFC00000"/>
        <rFont val="BIZ UDゴシック"/>
        <family val="3"/>
        <charset val="128"/>
      </rPr>
      <t>　一人につき三十八万円</t>
    </r>
    <phoneticPr fontId="3"/>
  </si>
  <si>
    <r>
      <t>イ</t>
    </r>
    <r>
      <rPr>
        <sz val="9"/>
        <color rgb="FF000000"/>
        <rFont val="BIZ UDゴシック"/>
        <family val="3"/>
        <charset val="128"/>
      </rPr>
      <t>　入居者又は同居者で 給与所得又は公的年金等に係る雑所得を有する者</t>
    </r>
    <r>
      <rPr>
        <b/>
        <sz val="9"/>
        <color rgb="FFC00000"/>
        <rFont val="BIZ UDゴシック"/>
        <family val="3"/>
        <charset val="128"/>
      </rPr>
      <t>　一人につき十万円</t>
    </r>
    <phoneticPr fontId="3"/>
  </si>
  <si>
    <r>
      <t>ハ　</t>
    </r>
    <r>
      <rPr>
        <sz val="9"/>
        <color rgb="FF000000"/>
        <rFont val="BIZ UDゴシック"/>
        <family val="3"/>
        <charset val="128"/>
      </rPr>
      <t>同一生計配偶者が七十歳以上の者である場合 又は 扶養親族が老人扶養親族である場合</t>
    </r>
    <r>
      <rPr>
        <b/>
        <sz val="9"/>
        <color rgb="FFC00000"/>
        <rFont val="BIZ UDゴシック"/>
        <family val="3"/>
        <charset val="128"/>
      </rPr>
      <t>　その同一生計配偶者又は老人扶養親族一人につき十万円</t>
    </r>
    <phoneticPr fontId="3"/>
  </si>
  <si>
    <r>
      <t>ニ　扶養親族が十六歳以上二十三歳未満の者である場合</t>
    </r>
    <r>
      <rPr>
        <b/>
        <sz val="9"/>
        <color rgb="FFC00000"/>
        <rFont val="BIZ UDゴシック"/>
        <family val="3"/>
        <charset val="128"/>
      </rPr>
      <t>　その扶養親族一人につき二十五万円</t>
    </r>
    <phoneticPr fontId="3"/>
  </si>
  <si>
    <r>
      <t>ホ　</t>
    </r>
    <r>
      <rPr>
        <sz val="9"/>
        <color rgb="FF000000"/>
        <rFont val="BIZ UDゴシック"/>
        <family val="3"/>
        <charset val="128"/>
      </rPr>
      <t>入居者、同居者、同一生計配偶者又は扶養家族に障害者がある場合</t>
    </r>
    <r>
      <rPr>
        <b/>
        <sz val="9"/>
        <color rgb="FFC00000"/>
        <rFont val="BIZ UDゴシック"/>
        <family val="3"/>
        <charset val="128"/>
      </rPr>
      <t>　その障害者一人につき二十七万円</t>
    </r>
    <phoneticPr fontId="3"/>
  </si>
  <si>
    <r>
      <t>ヘ　</t>
    </r>
    <r>
      <rPr>
        <sz val="9"/>
        <color rgb="FF000000"/>
        <rFont val="BIZ UDゴシック"/>
        <family val="3"/>
        <charset val="128"/>
      </rPr>
      <t>入居者又は同居者に寡婦がある場合</t>
    </r>
    <r>
      <rPr>
        <b/>
        <sz val="9"/>
        <color rgb="FFC00000"/>
        <rFont val="BIZ UDゴシック"/>
        <family val="3"/>
        <charset val="128"/>
      </rPr>
      <t>　その寡婦一人につき二十七万円</t>
    </r>
    <phoneticPr fontId="3"/>
  </si>
  <si>
    <r>
      <t>ト　</t>
    </r>
    <r>
      <rPr>
        <sz val="9"/>
        <color rgb="FF000000"/>
        <rFont val="BIZ UDゴシック"/>
        <family val="3"/>
        <charset val="128"/>
      </rPr>
      <t>入居者又は同居者にひとり親がある場合</t>
    </r>
    <r>
      <rPr>
        <b/>
        <sz val="9"/>
        <color rgb="FFC00000"/>
        <rFont val="BIZ UDゴシック"/>
        <family val="3"/>
        <charset val="128"/>
      </rPr>
      <t>　そのひとり親一人につき三十五万円</t>
    </r>
    <phoneticPr fontId="3"/>
  </si>
  <si>
    <t>１　その年中の給与等の収入金額が八百五十万円を超える居住者で、特別障害者に該当するもの又は年齢二十三歳未満の扶養親族を有するもの若しくは特別障害者である同一生計配偶者若しくは扶養親族を有するものに係る総所得金額を計算する場合には、その年中の給与等の収入金額（当該給与等の収入金額が千万円を超える場合には、千万円）から八百五十万円を控除した金額の百分の十に相当する金額を、その年分の給与所得の金額から控除する。
２　その年分の給与所得控除後の給与等の金額及び公的年金等に係る雑所得の金額がある居住者で、当該給与所得控除後の給与等の金額及び当該公的年金等に係る雑所得の金額の合計額が十万円を超えるものに係る総所得金額を計算する場合には、当該給与所得控除後の給与等の金額（当該給与所得控除後の給与等の金額が十万円を超える場合には、十万円）及び当該公的年金等に係る雑所得の金額（当該公的年金等に係る雑所得の金額が十万円を超える場合には、十万円）の合計額から十万円を控除した残額を、その年分の給与所得の金額（前項の規定の適用がある場合には、同項の規定による控除をした残額）から控除する。</t>
    <phoneticPr fontId="3"/>
  </si>
  <si>
    <t>※入居後は、上記の家賃の他に、水道光熱費、共益費、駐車場使用料などの支払いが必要です。</t>
    <rPh sb="6" eb="8">
      <t>ジョウキ</t>
    </rPh>
    <rPh sb="9" eb="11">
      <t>ヤチン</t>
    </rPh>
    <phoneticPr fontId="3"/>
  </si>
  <si>
    <t>七尾市復興公営住宅　家賃シミュレーションツール</t>
    <rPh sb="0" eb="3">
      <t>ナナオシ</t>
    </rPh>
    <rPh sb="3" eb="9">
      <t>フッコウコウエイジュウタク</t>
    </rPh>
    <rPh sb="10" eb="12">
      <t>ヤチン</t>
    </rPh>
    <phoneticPr fontId="3"/>
  </si>
  <si>
    <r>
      <t>復興公営住宅に入居を希望する入居者や同居者を含む世帯</t>
    </r>
    <r>
      <rPr>
        <sz val="12"/>
        <color rgb="FFC00000"/>
        <rFont val="Yu Gothic UI"/>
        <family val="3"/>
        <charset val="128"/>
      </rPr>
      <t>（世帯人員には、別居する方も含みます）</t>
    </r>
    <r>
      <rPr>
        <sz val="12"/>
        <rFont val="Yu Gothic UI"/>
        <family val="3"/>
        <charset val="128"/>
      </rPr>
      <t>について、次の６つの質問に答えてください。</t>
    </r>
    <rPh sb="22" eb="23">
      <t>フク</t>
    </rPh>
    <rPh sb="24" eb="26">
      <t>セタイ</t>
    </rPh>
    <rPh sb="27" eb="30">
      <t>セタイジン</t>
    </rPh>
    <rPh sb="30" eb="31">
      <t>イン</t>
    </rPh>
    <rPh sb="34" eb="36">
      <t>ベッキョ</t>
    </rPh>
    <rPh sb="38" eb="39">
      <t>カタ</t>
    </rPh>
    <rPh sb="40" eb="41">
      <t>フク</t>
    </rPh>
    <rPh sb="50" eb="51">
      <t>ツギ</t>
    </rPh>
    <rPh sb="55" eb="57">
      <t>シツモン</t>
    </rPh>
    <rPh sb="58" eb="59">
      <t>コタ</t>
    </rPh>
    <phoneticPr fontId="3"/>
  </si>
  <si>
    <r>
      <rPr>
        <b/>
        <u/>
        <sz val="12"/>
        <color rgb="FFC00000"/>
        <rFont val="Yu Gothic UI"/>
        <family val="3"/>
        <charset val="128"/>
      </rPr>
      <t>別居する</t>
    </r>
    <r>
      <rPr>
        <sz val="12"/>
        <rFont val="Yu Gothic UI"/>
        <family val="3"/>
        <charset val="128"/>
      </rPr>
      <t>所得税法上の</t>
    </r>
    <r>
      <rPr>
        <b/>
        <sz val="12"/>
        <color rgb="FFC00000"/>
        <rFont val="Yu Gothic UI"/>
        <family val="3"/>
        <charset val="128"/>
      </rPr>
      <t>扶養親族</t>
    </r>
    <r>
      <rPr>
        <sz val="12"/>
        <rFont val="Yu Gothic UI"/>
        <family val="3"/>
        <charset val="128"/>
      </rPr>
      <t>のうち、</t>
    </r>
    <r>
      <rPr>
        <b/>
        <sz val="12"/>
        <color rgb="FFC00000"/>
        <rFont val="Yu Gothic UI"/>
        <family val="3"/>
        <charset val="128"/>
      </rPr>
      <t>障がい者（特別障がい者を除く）</t>
    </r>
    <r>
      <rPr>
        <sz val="12"/>
        <rFont val="Yu Gothic UI"/>
        <family val="3"/>
        <charset val="128"/>
      </rPr>
      <t>の人数（</t>
    </r>
    <r>
      <rPr>
        <u/>
        <sz val="12"/>
        <rFont val="Yu Gothic UI"/>
        <family val="3"/>
        <charset val="128"/>
      </rPr>
      <t>同居者は</t>
    </r>
    <r>
      <rPr>
        <b/>
        <u val="double"/>
        <sz val="12"/>
        <rFont val="Yu Gothic UI"/>
        <family val="3"/>
        <charset val="128"/>
      </rPr>
      <t>除く</t>
    </r>
    <r>
      <rPr>
        <sz val="12"/>
        <rFont val="Yu Gothic UI"/>
        <family val="3"/>
        <charset val="128"/>
      </rPr>
      <t>）</t>
    </r>
    <rPh sb="34" eb="36">
      <t>ニンズウ</t>
    </rPh>
    <phoneticPr fontId="3"/>
  </si>
  <si>
    <r>
      <rPr>
        <b/>
        <u/>
        <sz val="12"/>
        <color rgb="FFC00000"/>
        <rFont val="Yu Gothic UI"/>
        <family val="3"/>
        <charset val="128"/>
      </rPr>
      <t>別居する</t>
    </r>
    <r>
      <rPr>
        <sz val="12"/>
        <rFont val="Yu Gothic UI"/>
        <family val="3"/>
        <charset val="128"/>
      </rPr>
      <t>所得税法上の</t>
    </r>
    <r>
      <rPr>
        <b/>
        <sz val="12"/>
        <color rgb="FFC00000"/>
        <rFont val="Yu Gothic UI"/>
        <family val="3"/>
        <charset val="128"/>
      </rPr>
      <t>扶養親族</t>
    </r>
    <r>
      <rPr>
        <sz val="12"/>
        <rFont val="Yu Gothic UI"/>
        <family val="3"/>
        <charset val="128"/>
      </rPr>
      <t>の人数（</t>
    </r>
    <r>
      <rPr>
        <u/>
        <sz val="12"/>
        <rFont val="Yu Gothic UI"/>
        <family val="3"/>
        <charset val="128"/>
      </rPr>
      <t>同居者は</t>
    </r>
    <r>
      <rPr>
        <b/>
        <u val="double"/>
        <sz val="12"/>
        <rFont val="Yu Gothic UI"/>
        <family val="3"/>
        <charset val="128"/>
      </rPr>
      <t>除く</t>
    </r>
    <r>
      <rPr>
        <sz val="12"/>
        <rFont val="Yu Gothic UI"/>
        <family val="3"/>
        <charset val="128"/>
      </rPr>
      <t>）</t>
    </r>
    <rPh sb="0" eb="2">
      <t>ベッキョ</t>
    </rPh>
    <rPh sb="4" eb="6">
      <t>ショトク</t>
    </rPh>
    <rPh sb="6" eb="9">
      <t>ゼイホウジョウ</t>
    </rPh>
    <rPh sb="10" eb="12">
      <t>フヨウ</t>
    </rPh>
    <rPh sb="12" eb="14">
      <t>シンゾク</t>
    </rPh>
    <rPh sb="15" eb="17">
      <t>ニンズウ</t>
    </rPh>
    <rPh sb="18" eb="20">
      <t>ドウキョ</t>
    </rPh>
    <rPh sb="20" eb="21">
      <t>シャ</t>
    </rPh>
    <rPh sb="22" eb="23">
      <t>ノゾ</t>
    </rPh>
    <phoneticPr fontId="3"/>
  </si>
  <si>
    <r>
      <rPr>
        <b/>
        <u/>
        <sz val="12"/>
        <color rgb="FFC00000"/>
        <rFont val="Yu Gothic UI"/>
        <family val="3"/>
        <charset val="128"/>
      </rPr>
      <t>別居する</t>
    </r>
    <r>
      <rPr>
        <sz val="12"/>
        <rFont val="Yu Gothic UI"/>
        <family val="3"/>
        <charset val="128"/>
      </rPr>
      <t>所得税法上の</t>
    </r>
    <r>
      <rPr>
        <b/>
        <sz val="12"/>
        <color rgb="FFC00000"/>
        <rFont val="Yu Gothic UI"/>
        <family val="3"/>
        <charset val="128"/>
      </rPr>
      <t>扶養親族</t>
    </r>
    <r>
      <rPr>
        <sz val="12"/>
        <rFont val="Yu Gothic UI"/>
        <family val="3"/>
        <charset val="128"/>
      </rPr>
      <t>のうち、</t>
    </r>
    <r>
      <rPr>
        <b/>
        <sz val="12"/>
        <color rgb="FFC00000"/>
        <rFont val="Yu Gothic UI"/>
        <family val="3"/>
        <charset val="128"/>
      </rPr>
      <t>特別障がい者</t>
    </r>
    <r>
      <rPr>
        <sz val="12"/>
        <rFont val="Yu Gothic UI"/>
        <family val="3"/>
        <charset val="128"/>
      </rPr>
      <t>の人数（</t>
    </r>
    <r>
      <rPr>
        <u/>
        <sz val="12"/>
        <rFont val="Yu Gothic UI"/>
        <family val="3"/>
        <charset val="128"/>
      </rPr>
      <t>同居者は</t>
    </r>
    <r>
      <rPr>
        <b/>
        <u val="double"/>
        <sz val="12"/>
        <rFont val="Yu Gothic UI"/>
        <family val="3"/>
        <charset val="128"/>
      </rPr>
      <t>除く</t>
    </r>
    <r>
      <rPr>
        <sz val="12"/>
        <rFont val="Yu Gothic UI"/>
        <family val="3"/>
        <charset val="128"/>
      </rPr>
      <t>）</t>
    </r>
    <rPh sb="18" eb="20">
      <t>トクベツ</t>
    </rPh>
    <phoneticPr fontId="3"/>
  </si>
  <si>
    <t>AN</t>
    <phoneticPr fontId="3"/>
  </si>
  <si>
    <t>AO</t>
    <phoneticPr fontId="3"/>
  </si>
  <si>
    <t>※入居する住宅の建物構造により、家賃の額が変動する可能性があります。</t>
    <rPh sb="1" eb="3">
      <t>ニュウキョ</t>
    </rPh>
    <rPh sb="5" eb="7">
      <t>ジュウタク</t>
    </rPh>
    <rPh sb="8" eb="12">
      <t>タテモノコウゾウ</t>
    </rPh>
    <rPh sb="16" eb="18">
      <t>ヤチン</t>
    </rPh>
    <rPh sb="19" eb="20">
      <t>ガク</t>
    </rPh>
    <rPh sb="21" eb="23">
      <t>ヘンドウ</t>
    </rPh>
    <rPh sb="25" eb="28">
      <t>カノウセイ</t>
    </rPh>
    <phoneticPr fontId="3"/>
  </si>
  <si>
    <t>※入居後の家族構成や年齢、収入の変化により、家賃の額が変動する可能性があります。</t>
    <rPh sb="1" eb="4">
      <t>ニュウキョゴ</t>
    </rPh>
    <rPh sb="5" eb="9">
      <t>カゾクコウセイ</t>
    </rPh>
    <rPh sb="10" eb="12">
      <t>ネンレイ</t>
    </rPh>
    <rPh sb="13" eb="15">
      <t>シュウニュウ</t>
    </rPh>
    <rPh sb="16" eb="18">
      <t>ヘンカ</t>
    </rPh>
    <rPh sb="25" eb="26">
      <t>ガク</t>
    </rPh>
    <phoneticPr fontId="3"/>
  </si>
  <si>
    <r>
      <t>所得税法上の</t>
    </r>
    <r>
      <rPr>
        <b/>
        <sz val="12"/>
        <color rgb="FFC00000"/>
        <rFont val="Yu Gothic UI"/>
        <family val="3"/>
        <charset val="128"/>
      </rPr>
      <t>扶養親族</t>
    </r>
    <r>
      <rPr>
        <sz val="12"/>
        <rFont val="Yu Gothic UI"/>
        <family val="3"/>
        <charset val="128"/>
      </rPr>
      <t>のうち、</t>
    </r>
    <r>
      <rPr>
        <b/>
        <sz val="12"/>
        <color rgb="FFC00000"/>
        <rFont val="Yu Gothic UI"/>
        <family val="3"/>
        <charset val="128"/>
      </rPr>
      <t>16～22歳</t>
    </r>
    <r>
      <rPr>
        <sz val="12"/>
        <rFont val="Yu Gothic UI"/>
        <family val="3"/>
        <charset val="128"/>
      </rPr>
      <t>の人数（</t>
    </r>
    <r>
      <rPr>
        <u/>
        <sz val="12"/>
        <rFont val="Yu Gothic UI"/>
        <family val="3"/>
        <charset val="128"/>
      </rPr>
      <t>同居・別居問わず</t>
    </r>
    <r>
      <rPr>
        <sz val="12"/>
        <rFont val="Yu Gothic UI"/>
        <family val="3"/>
        <charset val="128"/>
      </rPr>
      <t>）</t>
    </r>
    <phoneticPr fontId="3"/>
  </si>
  <si>
    <r>
      <t>所得税法上の</t>
    </r>
    <r>
      <rPr>
        <b/>
        <sz val="12"/>
        <color rgb="FFC00000"/>
        <rFont val="Yu Gothic UI"/>
        <family val="3"/>
        <charset val="128"/>
      </rPr>
      <t>扶養親族</t>
    </r>
    <r>
      <rPr>
        <sz val="12"/>
        <rFont val="Yu Gothic UI"/>
        <family val="3"/>
        <charset val="128"/>
      </rPr>
      <t>のうち、</t>
    </r>
    <r>
      <rPr>
        <b/>
        <sz val="12"/>
        <color rgb="FFC00000"/>
        <rFont val="Yu Gothic UI"/>
        <family val="3"/>
        <charset val="128"/>
      </rPr>
      <t>0～15歳</t>
    </r>
    <r>
      <rPr>
        <sz val="12"/>
        <rFont val="Yu Gothic UI"/>
        <family val="3"/>
        <charset val="128"/>
      </rPr>
      <t>の人数（</t>
    </r>
    <r>
      <rPr>
        <u/>
        <sz val="12"/>
        <rFont val="Yu Gothic UI"/>
        <family val="3"/>
        <charset val="128"/>
      </rPr>
      <t>同居・別居問わず</t>
    </r>
    <r>
      <rPr>
        <sz val="12"/>
        <rFont val="Yu Gothic UI"/>
        <family val="3"/>
        <charset val="128"/>
      </rPr>
      <t>）</t>
    </r>
    <phoneticPr fontId="3"/>
  </si>
  <si>
    <t>政令月収</t>
    <rPh sb="0" eb="4">
      <t>セイレイゲッシュウ</t>
    </rPh>
    <phoneticPr fontId="3"/>
  </si>
  <si>
    <t>区分</t>
    <rPh sb="0" eb="2">
      <t>クブン</t>
    </rPh>
    <phoneticPr fontId="3"/>
  </si>
  <si>
    <t>裁量階層</t>
    <rPh sb="0" eb="4">
      <t>サイリョウカイソウ</t>
    </rPh>
    <phoneticPr fontId="3"/>
  </si>
  <si>
    <t>1LDK</t>
    <phoneticPr fontId="3"/>
  </si>
  <si>
    <t>想定世帯人員</t>
    <phoneticPr fontId="3"/>
  </si>
  <si>
    <t>3人以下</t>
    <phoneticPr fontId="3"/>
  </si>
  <si>
    <t>3人以上</t>
    <phoneticPr fontId="3"/>
  </si>
  <si>
    <t>2人以下</t>
    <phoneticPr fontId="3"/>
  </si>
  <si>
    <t>戸当たり面積</t>
    <phoneticPr fontId="3"/>
  </si>
  <si>
    <t>75～80㎡</t>
    <phoneticPr fontId="3"/>
  </si>
  <si>
    <t>47～48㎡</t>
    <phoneticPr fontId="3"/>
  </si>
  <si>
    <t>2戸 (小丸山住宅のみ)</t>
    <rPh sb="1" eb="2">
      <t>コ</t>
    </rPh>
    <phoneticPr fontId="3"/>
  </si>
  <si>
    <t>1DKの住戸面積</t>
    <rPh sb="4" eb="8">
      <t>ジュウコメンセキ</t>
    </rPh>
    <phoneticPr fontId="23"/>
  </si>
  <si>
    <t>1DKの戸数</t>
    <rPh sb="4" eb="6">
      <t>コスウ</t>
    </rPh>
    <phoneticPr fontId="23"/>
  </si>
  <si>
    <t>小丸山住宅</t>
    <rPh sb="0" eb="5">
      <t>コマルヤマジュウタク</t>
    </rPh>
    <phoneticPr fontId="3"/>
  </si>
  <si>
    <t>七尾8（令和6年7月1日）　石川県七尾市小丸山台２丁目９４番</t>
    <rPh sb="0" eb="2">
      <t>ナナオ</t>
    </rPh>
    <rPh sb="4" eb="6">
      <t>レイワ</t>
    </rPh>
    <rPh sb="7" eb="8">
      <t>ネン</t>
    </rPh>
    <rPh sb="9" eb="10">
      <t>ガツ</t>
    </rPh>
    <rPh sb="11" eb="12">
      <t>ニチ</t>
    </rPh>
    <phoneticPr fontId="23"/>
  </si>
  <si>
    <t>計算：1DK住戸</t>
    <rPh sb="0" eb="2">
      <t>ケイサン</t>
    </rPh>
    <rPh sb="6" eb="8">
      <t>ジュウコ</t>
    </rPh>
    <phoneticPr fontId="23"/>
  </si>
  <si>
    <t>={(1DKの住戸面積)/(ネット率)}*(㎡あたり建設費)*(100%+消費税)</t>
    <rPh sb="17" eb="18">
      <t>リツ</t>
    </rPh>
    <phoneticPr fontId="23"/>
  </si>
  <si>
    <t>=(敷地購入費)*70%*{1DKの住戸面積)/(ネット率)}/(延床面積)</t>
    <rPh sb="2" eb="7">
      <t>シキチコウニュウヒ</t>
    </rPh>
    <rPh sb="33" eb="34">
      <t>ノ</t>
    </rPh>
    <rPh sb="34" eb="37">
      <t>ユカメンセキ</t>
    </rPh>
    <phoneticPr fontId="23"/>
  </si>
  <si>
    <t>=(新築単価)*{(1DKの住戸面積)/(ネット率)}</t>
    <rPh sb="2" eb="6">
      <t>シンチクタンカ</t>
    </rPh>
    <phoneticPr fontId="23"/>
  </si>
  <si>
    <t>令和7年度小丸山復興公営住宅建設工事落札価格×ネット率÷延床面積</t>
    <rPh sb="0" eb="2">
      <t>レイワ</t>
    </rPh>
    <rPh sb="3" eb="5">
      <t>ネンド</t>
    </rPh>
    <rPh sb="5" eb="8">
      <t>コマルヤマ</t>
    </rPh>
    <rPh sb="8" eb="10">
      <t>フッコウ</t>
    </rPh>
    <rPh sb="10" eb="12">
      <t>コウエイ</t>
    </rPh>
    <rPh sb="12" eb="14">
      <t>ジュウタク</t>
    </rPh>
    <rPh sb="14" eb="16">
      <t>ケンセツ</t>
    </rPh>
    <rPh sb="16" eb="18">
      <t>コウジ</t>
    </rPh>
    <rPh sb="18" eb="20">
      <t>ラクサツ</t>
    </rPh>
    <rPh sb="20" eb="22">
      <t>カカク</t>
    </rPh>
    <rPh sb="26" eb="27">
      <t>リツ</t>
    </rPh>
    <rPh sb="28" eb="32">
      <t>ノベユカメンセキ</t>
    </rPh>
    <phoneticPr fontId="23"/>
  </si>
  <si>
    <t>標準建設費（令和7年度　主体附帯工事費　中層耐火構造・豪雪地帯・地域5）</t>
    <rPh sb="0" eb="5">
      <t>ヒョウジュンケンセツヒ</t>
    </rPh>
    <rPh sb="6" eb="8">
      <t>レイワ</t>
    </rPh>
    <rPh sb="9" eb="11">
      <t>ネンド</t>
    </rPh>
    <rPh sb="20" eb="24">
      <t>チュウソウタイカ</t>
    </rPh>
    <rPh sb="24" eb="26">
      <t>コウゾウ</t>
    </rPh>
    <rPh sb="27" eb="31">
      <t>ゴウセツチタイ</t>
    </rPh>
    <rPh sb="32" eb="34">
      <t>チイキ</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</si>
</sst>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
    <numFmt numFmtId="177" formatCode="0.00000"/>
    <numFmt numFmtId="178" formatCode="0.0000"/>
    <numFmt numFmtId="179" formatCode="#,##0;&quot;▲ &quot;#,##0"/>
    <numFmt numFmtId="180" formatCode="#,##0.0;&quot;▲ &quot;#,##0.0"/>
    <numFmt numFmtId="181" formatCode="#,##0.00;&quot;▲ &quot;#,##0.00"/>
    <numFmt numFmtId="182" formatCode="&quot;約&quot;#,##0&quot;万&quot;&quot;円&quot;"/>
  </numFmts>
  <fonts count="48">
    <font>
      <sz val="12"/>
      <name val="ＭＳ 明朝"/>
      <family val="1"/>
      <charset val="128"/>
    </font>
    <font>
      <sz val="11"/>
      <color theme="1"/>
      <name val="游ゴシック"/>
      <family val="2"/>
      <charset val="128"/>
      <scheme val="minor"/>
    </font>
    <font>
      <b/>
      <sz val="10"/>
      <name val="ＭＳ Ｐゴシック"/>
      <family val="3"/>
      <charset val="128"/>
    </font>
    <font>
      <sz val="6"/>
      <name val="ＭＳ 明朝"/>
      <family val="1"/>
      <charset val="128"/>
    </font>
    <font>
      <sz val="10"/>
      <name val="ＭＳ Ｐゴシック"/>
      <family val="3"/>
      <charset val="128"/>
    </font>
    <font>
      <b/>
      <sz val="10"/>
      <color rgb="FF333333"/>
      <name val="ＭＳ Ｐゴシック"/>
      <family val="3"/>
      <charset val="128"/>
    </font>
    <font>
      <sz val="10"/>
      <color rgb="FF333333"/>
      <name val="ＭＳ Ｐゴシック"/>
      <family val="3"/>
      <charset val="128"/>
    </font>
    <font>
      <sz val="10"/>
      <color theme="0"/>
      <name val="ＭＳ Ｐゴシック"/>
      <family val="3"/>
      <charset val="128"/>
    </font>
    <font>
      <b/>
      <sz val="10"/>
      <color theme="0"/>
      <name val="ＭＳ Ｐゴシック"/>
      <family val="3"/>
      <charset val="128"/>
    </font>
    <font>
      <sz val="12"/>
      <name val="Yu Gothic UI"/>
      <family val="3"/>
      <charset val="128"/>
    </font>
    <font>
      <b/>
      <sz val="12"/>
      <name val="Yu Gothic UI"/>
      <family val="3"/>
      <charset val="128"/>
    </font>
    <font>
      <sz val="12"/>
      <name val="ＭＳ 明朝"/>
      <family val="1"/>
      <charset val="128"/>
    </font>
    <font>
      <b/>
      <sz val="12"/>
      <color rgb="FFC00000"/>
      <name val="Yu Gothic UI"/>
      <family val="3"/>
      <charset val="128"/>
    </font>
    <font>
      <b/>
      <sz val="12"/>
      <color rgb="FF0070C0"/>
      <name val="Yu Gothic UI"/>
      <family val="3"/>
      <charset val="128"/>
    </font>
    <font>
      <b/>
      <sz val="12"/>
      <color rgb="FFFF0000"/>
      <name val="Yu Gothic UI"/>
      <family val="3"/>
      <charset val="128"/>
    </font>
    <font>
      <sz val="12"/>
      <color rgb="FFC00000"/>
      <name val="Yu Gothic UI"/>
      <family val="3"/>
      <charset val="128"/>
    </font>
    <font>
      <u/>
      <sz val="12"/>
      <name val="Yu Gothic UI"/>
      <family val="3"/>
      <charset val="128"/>
    </font>
    <font>
      <b/>
      <u/>
      <sz val="12"/>
      <color rgb="FFC00000"/>
      <name val="Yu Gothic UI"/>
      <family val="3"/>
      <charset val="128"/>
    </font>
    <font>
      <sz val="10"/>
      <name val="Yu Gothic UI"/>
      <family val="3"/>
      <charset val="128"/>
    </font>
    <font>
      <b/>
      <sz val="12"/>
      <color theme="0"/>
      <name val="Yu Gothic UI"/>
      <family val="3"/>
      <charset val="128"/>
    </font>
    <font>
      <b/>
      <sz val="16"/>
      <color theme="8" tint="-0.499984740745262"/>
      <name val="Yu Gothic UI"/>
      <family val="3"/>
      <charset val="128"/>
    </font>
    <font>
      <sz val="8"/>
      <name val="Yu Gothic UI"/>
      <family val="3"/>
      <charset val="128"/>
    </font>
    <font>
      <sz val="12"/>
      <name val="ＭＳ Ｐゴシック"/>
      <family val="3"/>
      <charset val="128"/>
    </font>
    <font>
      <sz val="6"/>
      <name val="游ゴシック"/>
      <family val="2"/>
      <charset val="128"/>
      <scheme val="minor"/>
    </font>
    <font>
      <sz val="6"/>
      <name val="ＭＳ Ｐゴシック"/>
      <family val="3"/>
      <charset val="128"/>
    </font>
    <font>
      <sz val="10"/>
      <color rgb="FFFF0000"/>
      <name val="ＭＳ Ｐゴシック"/>
      <family val="3"/>
      <charset val="128"/>
    </font>
    <font>
      <b/>
      <sz val="10"/>
      <color rgb="FFC00000"/>
      <name val="ＭＳ Ｐゴシック"/>
      <family val="3"/>
      <charset val="128"/>
    </font>
    <font>
      <b/>
      <sz val="14"/>
      <name val="Yu Gothic UI"/>
      <family val="3"/>
      <charset val="128"/>
    </font>
    <font>
      <sz val="14"/>
      <name val="Yu Gothic UI"/>
      <family val="3"/>
      <charset val="128"/>
    </font>
    <font>
      <sz val="11"/>
      <name val="Yu Gothic UI"/>
      <family val="3"/>
      <charset val="128"/>
    </font>
    <font>
      <b/>
      <sz val="11"/>
      <name val="Yu Gothic UI"/>
      <family val="3"/>
      <charset val="128"/>
    </font>
    <font>
      <b/>
      <sz val="18"/>
      <color theme="0"/>
      <name val="Yu Gothic UI"/>
      <family val="3"/>
      <charset val="128"/>
    </font>
    <font>
      <sz val="12"/>
      <color theme="0"/>
      <name val="Yu Gothic UI"/>
      <family val="3"/>
      <charset val="128"/>
    </font>
    <font>
      <b/>
      <sz val="14"/>
      <color theme="0"/>
      <name val="Yu Gothic UI"/>
      <family val="3"/>
      <charset val="128"/>
    </font>
    <font>
      <b/>
      <sz val="9"/>
      <name val="Yu Gothic UI"/>
      <family val="3"/>
      <charset val="128"/>
    </font>
    <font>
      <sz val="9"/>
      <name val="Yu Gothic UI"/>
      <family val="3"/>
      <charset val="128"/>
    </font>
    <font>
      <b/>
      <sz val="9"/>
      <color indexed="81"/>
      <name val="MS P ゴシック"/>
      <family val="3"/>
      <charset val="128"/>
    </font>
    <font>
      <b/>
      <sz val="24"/>
      <name val="Yu Gothic UI"/>
      <family val="3"/>
      <charset val="128"/>
    </font>
    <font>
      <b/>
      <sz val="18"/>
      <name val="HGS創英角ｺﾞｼｯｸUB"/>
      <family val="3"/>
      <charset val="128"/>
    </font>
    <font>
      <b/>
      <sz val="9"/>
      <color rgb="FF000000"/>
      <name val="BIZ UDゴシック"/>
      <family val="3"/>
      <charset val="128"/>
    </font>
    <font>
      <sz val="9"/>
      <color rgb="FF000000"/>
      <name val="BIZ UDゴシック"/>
      <family val="3"/>
      <charset val="128"/>
    </font>
    <font>
      <sz val="9"/>
      <color rgb="FF0070C0"/>
      <name val="BIZ UDゴシック"/>
      <family val="3"/>
      <charset val="128"/>
    </font>
    <font>
      <b/>
      <sz val="9"/>
      <color rgb="FFC00000"/>
      <name val="BIZ UDゴシック"/>
      <family val="3"/>
      <charset val="128"/>
    </font>
    <font>
      <sz val="8"/>
      <name val="BIZ UDPゴシック"/>
      <family val="3"/>
      <charset val="128"/>
    </font>
    <font>
      <b/>
      <sz val="11"/>
      <color rgb="FFC00000"/>
      <name val="Yu Gothic UI"/>
      <family val="3"/>
      <charset val="128"/>
    </font>
    <font>
      <b/>
      <sz val="10"/>
      <color rgb="FFC00000"/>
      <name val="Yu Gothic UI"/>
      <family val="3"/>
      <charset val="128"/>
    </font>
    <font>
      <b/>
      <u val="double"/>
      <sz val="12"/>
      <name val="Yu Gothic UI"/>
      <family val="3"/>
      <charset val="128"/>
    </font>
    <font>
      <b/>
      <sz val="10"/>
      <name val="Yu Gothic UI"/>
      <family val="3"/>
      <charset val="128"/>
    </font>
  </fonts>
  <fills count="23">
    <fill>
      <patternFill patternType="none"/>
    </fill>
    <fill>
      <patternFill patternType="gray125"/>
    </fill>
    <fill>
      <patternFill patternType="solid">
        <fgColor rgb="FFFFFFFF"/>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7" tint="-0.499984740745262"/>
        <bgColor indexed="64"/>
      </patternFill>
    </fill>
    <fill>
      <patternFill patternType="solid">
        <fgColor rgb="FFFFFFCC"/>
        <bgColor indexed="64"/>
      </patternFill>
    </fill>
    <fill>
      <patternFill patternType="solid">
        <fgColor theme="1"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theme="1" tint="0.249977111117893"/>
        <bgColor indexed="64"/>
      </patternFill>
    </fill>
    <fill>
      <patternFill patternType="solid">
        <fgColor theme="0" tint="-0.499984740745262"/>
        <bgColor indexed="64"/>
      </patternFill>
    </fill>
    <fill>
      <patternFill patternType="solid">
        <fgColor theme="8" tint="-0.249977111117893"/>
        <bgColor indexed="64"/>
      </patternFill>
    </fill>
    <fill>
      <patternFill patternType="solid">
        <fgColor rgb="FFFFFF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C00000"/>
        <bgColor indexed="64"/>
      </patternFill>
    </fill>
    <fill>
      <patternFill patternType="solid">
        <fgColor theme="1" tint="0.499984740745262"/>
        <bgColor indexed="64"/>
      </patternFill>
    </fill>
    <fill>
      <patternFill patternType="solid">
        <fgColor rgb="FFFFEFEF"/>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style="thin">
        <color indexed="64"/>
      </bottom>
      <diagonal/>
    </border>
  </borders>
  <cellStyleXfs count="4">
    <xf numFmtId="0" fontId="0" fillId="0" borderId="0"/>
    <xf numFmtId="38" fontId="1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cellStyleXfs>
  <cellXfs count="288">
    <xf numFmtId="0" fontId="0" fillId="0" borderId="0" xfId="0"/>
    <xf numFmtId="0" fontId="2" fillId="0" borderId="0" xfId="0" applyFont="1" applyAlignment="1">
      <alignment vertical="center"/>
    </xf>
    <xf numFmtId="0" fontId="4" fillId="0" borderId="0" xfId="0" applyFont="1" applyAlignment="1">
      <alignment vertical="center"/>
    </xf>
    <xf numFmtId="0" fontId="4" fillId="0" borderId="1" xfId="0" applyFont="1" applyBorder="1" applyAlignment="1">
      <alignment vertical="center"/>
    </xf>
    <xf numFmtId="0" fontId="6" fillId="2" borderId="1" xfId="0" applyFont="1" applyFill="1" applyBorder="1" applyAlignment="1">
      <alignment vertical="center"/>
    </xf>
    <xf numFmtId="0" fontId="2" fillId="3" borderId="0" xfId="0" applyFont="1" applyFill="1" applyAlignment="1">
      <alignment vertical="center"/>
    </xf>
    <xf numFmtId="0" fontId="2" fillId="4" borderId="0" xfId="0" applyFont="1" applyFill="1" applyAlignment="1">
      <alignment vertical="center"/>
    </xf>
    <xf numFmtId="0" fontId="2" fillId="5" borderId="0" xfId="0" applyFont="1" applyFill="1" applyAlignment="1">
      <alignment vertical="center"/>
    </xf>
    <xf numFmtId="0" fontId="4" fillId="0" borderId="1"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5" fillId="6" borderId="1" xfId="0" applyFont="1" applyFill="1" applyBorder="1" applyAlignment="1">
      <alignment horizontal="centerContinuous" vertical="center"/>
    </xf>
    <xf numFmtId="0" fontId="5" fillId="6" borderId="2" xfId="0" applyFont="1" applyFill="1" applyBorder="1" applyAlignment="1">
      <alignment horizontal="center" vertical="center"/>
    </xf>
    <xf numFmtId="0" fontId="5" fillId="6" borderId="1"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6" xfId="0" applyFont="1" applyFill="1" applyBorder="1" applyAlignment="1">
      <alignment horizontal="center" vertical="center"/>
    </xf>
    <xf numFmtId="0" fontId="4" fillId="7" borderId="0" xfId="0" applyFont="1" applyFill="1" applyAlignment="1">
      <alignment vertical="center"/>
    </xf>
    <xf numFmtId="0" fontId="4" fillId="5" borderId="0" xfId="0" applyFont="1" applyFill="1" applyAlignment="1">
      <alignment vertical="center"/>
    </xf>
    <xf numFmtId="0" fontId="4" fillId="4" borderId="0" xfId="0" applyFont="1" applyFill="1" applyAlignment="1">
      <alignment vertical="center"/>
    </xf>
    <xf numFmtId="0" fontId="4" fillId="3" borderId="0" xfId="0" applyFont="1" applyFill="1" applyAlignment="1">
      <alignment vertical="center"/>
    </xf>
    <xf numFmtId="0" fontId="7" fillId="7" borderId="0" xfId="0" applyFont="1" applyFill="1" applyAlignment="1">
      <alignment vertical="center"/>
    </xf>
    <xf numFmtId="0" fontId="8" fillId="7" borderId="0" xfId="0" applyFont="1" applyFill="1" applyAlignment="1">
      <alignment vertical="center"/>
    </xf>
    <xf numFmtId="0" fontId="9" fillId="6" borderId="1" xfId="0" applyFont="1" applyFill="1" applyBorder="1" applyAlignment="1">
      <alignment horizontal="center" vertical="center" wrapText="1"/>
    </xf>
    <xf numFmtId="0" fontId="7" fillId="9" borderId="1" xfId="0" applyFont="1" applyFill="1" applyBorder="1" applyAlignment="1">
      <alignment horizontal="center" vertical="center"/>
    </xf>
    <xf numFmtId="0" fontId="9" fillId="10" borderId="1" xfId="0" applyFont="1" applyFill="1" applyBorder="1" applyAlignment="1">
      <alignment horizontal="center" vertical="center" wrapText="1"/>
    </xf>
    <xf numFmtId="0" fontId="4" fillId="0" borderId="1" xfId="0" applyFont="1" applyBorder="1" applyAlignment="1">
      <alignment horizontal="center" vertical="center"/>
    </xf>
    <xf numFmtId="0" fontId="10" fillId="10" borderId="1" xfId="0" applyFont="1" applyFill="1" applyBorder="1" applyAlignment="1">
      <alignment horizontal="center" vertical="center" wrapText="1"/>
    </xf>
    <xf numFmtId="0" fontId="10" fillId="12" borderId="7" xfId="0" applyFont="1" applyFill="1" applyBorder="1" applyAlignment="1">
      <alignment horizontal="centerContinuous" vertical="center" wrapText="1"/>
    </xf>
    <xf numFmtId="0" fontId="9" fillId="12" borderId="5" xfId="0" applyFont="1" applyFill="1" applyBorder="1" applyAlignment="1">
      <alignment horizontal="centerContinuous" vertical="center" wrapText="1"/>
    </xf>
    <xf numFmtId="0" fontId="9" fillId="10" borderId="12" xfId="0" applyFont="1" applyFill="1" applyBorder="1" applyAlignment="1">
      <alignment vertical="center" wrapText="1"/>
    </xf>
    <xf numFmtId="0" fontId="9" fillId="10" borderId="5" xfId="0" applyFont="1" applyFill="1" applyBorder="1" applyAlignment="1">
      <alignment vertical="center" wrapText="1"/>
    </xf>
    <xf numFmtId="0" fontId="9" fillId="6" borderId="1" xfId="0" applyFont="1" applyFill="1" applyBorder="1" applyAlignment="1">
      <alignment vertical="center" wrapText="1"/>
    </xf>
    <xf numFmtId="0" fontId="9" fillId="12" borderId="2" xfId="0" applyFont="1" applyFill="1" applyBorder="1" applyAlignment="1">
      <alignment horizontal="centerContinuous" vertical="center" wrapText="1"/>
    </xf>
    <xf numFmtId="0" fontId="10" fillId="12" borderId="6" xfId="0" applyFont="1" applyFill="1" applyBorder="1" applyAlignment="1">
      <alignment horizontal="center" vertical="center" wrapText="1"/>
    </xf>
    <xf numFmtId="0" fontId="9" fillId="12" borderId="12" xfId="0" applyFont="1" applyFill="1" applyBorder="1" applyAlignment="1">
      <alignment horizontal="centerContinuous" vertical="center" wrapText="1"/>
    </xf>
    <xf numFmtId="0" fontId="9" fillId="10" borderId="15" xfId="0" applyFont="1" applyFill="1" applyBorder="1" applyAlignment="1">
      <alignment vertical="center" wrapText="1"/>
    </xf>
    <xf numFmtId="0" fontId="9" fillId="10" borderId="0" xfId="0" applyFont="1" applyFill="1" applyAlignment="1">
      <alignment vertical="center" wrapText="1"/>
    </xf>
    <xf numFmtId="0" fontId="9" fillId="10" borderId="10" xfId="0" applyFont="1" applyFill="1" applyBorder="1" applyAlignment="1">
      <alignment vertical="center"/>
    </xf>
    <xf numFmtId="0" fontId="9" fillId="10" borderId="1" xfId="0" applyFont="1" applyFill="1" applyBorder="1" applyAlignment="1">
      <alignment vertical="center" wrapText="1"/>
    </xf>
    <xf numFmtId="0" fontId="9" fillId="6" borderId="1" xfId="0" applyFont="1" applyFill="1" applyBorder="1" applyAlignment="1">
      <alignment horizontal="centerContinuous" vertical="center" wrapText="1"/>
    </xf>
    <xf numFmtId="0" fontId="9" fillId="6" borderId="12" xfId="0" applyFont="1" applyFill="1" applyBorder="1" applyAlignment="1">
      <alignment horizontal="centerContinuous" vertical="center" wrapText="1"/>
    </xf>
    <xf numFmtId="0" fontId="9" fillId="6" borderId="5" xfId="0" applyFont="1" applyFill="1" applyBorder="1" applyAlignment="1">
      <alignment horizontal="centerContinuous" vertical="center" wrapText="1"/>
    </xf>
    <xf numFmtId="0" fontId="9" fillId="12" borderId="6" xfId="0" applyFont="1" applyFill="1" applyBorder="1" applyAlignment="1">
      <alignment horizontal="centerContinuous" vertical="center" wrapText="1"/>
    </xf>
    <xf numFmtId="0" fontId="9" fillId="11" borderId="9" xfId="0" applyFont="1" applyFill="1" applyBorder="1" applyAlignment="1">
      <alignment horizontal="center" vertical="center" wrapText="1"/>
    </xf>
    <xf numFmtId="0" fontId="10" fillId="10" borderId="7" xfId="0" applyFont="1" applyFill="1" applyBorder="1" applyAlignment="1">
      <alignment horizontal="center" vertical="center" wrapText="1"/>
    </xf>
    <xf numFmtId="0" fontId="10" fillId="10" borderId="12" xfId="0" applyFont="1" applyFill="1" applyBorder="1" applyAlignment="1">
      <alignment horizontal="center" vertical="center" wrapText="1"/>
    </xf>
    <xf numFmtId="0" fontId="9" fillId="13" borderId="0" xfId="0" applyFont="1" applyFill="1" applyAlignment="1">
      <alignment vertical="center" wrapText="1"/>
    </xf>
    <xf numFmtId="0" fontId="9" fillId="13" borderId="9" xfId="0" applyFont="1" applyFill="1" applyBorder="1" applyAlignment="1">
      <alignment vertical="center" wrapText="1"/>
    </xf>
    <xf numFmtId="0" fontId="9" fillId="13" borderId="12" xfId="0" applyFont="1" applyFill="1" applyBorder="1" applyAlignment="1">
      <alignment vertical="center" wrapText="1"/>
    </xf>
    <xf numFmtId="0" fontId="9" fillId="13" borderId="3" xfId="0" applyFont="1" applyFill="1" applyBorder="1" applyAlignment="1">
      <alignment vertical="center" wrapText="1"/>
    </xf>
    <xf numFmtId="0" fontId="9" fillId="13" borderId="0" xfId="0" applyFont="1" applyFill="1" applyAlignment="1">
      <alignment vertical="center"/>
    </xf>
    <xf numFmtId="176" fontId="9" fillId="10" borderId="1" xfId="1" applyNumberFormat="1" applyFont="1" applyFill="1" applyBorder="1" applyAlignment="1">
      <alignment vertical="center" wrapText="1"/>
    </xf>
    <xf numFmtId="0" fontId="19" fillId="14" borderId="1" xfId="0" applyFont="1" applyFill="1" applyBorder="1" applyAlignment="1">
      <alignment horizontal="centerContinuous" vertical="center" wrapText="1"/>
    </xf>
    <xf numFmtId="0" fontId="19" fillId="14" borderId="12" xfId="0" applyFont="1" applyFill="1" applyBorder="1" applyAlignment="1">
      <alignment horizontal="centerContinuous" vertical="center" wrapText="1"/>
    </xf>
    <xf numFmtId="0" fontId="19" fillId="14" borderId="5" xfId="0" applyFont="1" applyFill="1" applyBorder="1" applyAlignment="1">
      <alignment horizontal="centerContinuous" vertical="center" wrapText="1"/>
    </xf>
    <xf numFmtId="0" fontId="20" fillId="13" borderId="0" xfId="0" applyFont="1" applyFill="1" applyAlignment="1">
      <alignment vertical="center"/>
    </xf>
    <xf numFmtId="0" fontId="9" fillId="13" borderId="0" xfId="0" applyFont="1" applyFill="1" applyAlignment="1">
      <alignment vertical="center" shrinkToFit="1"/>
    </xf>
    <xf numFmtId="176" fontId="9" fillId="13" borderId="0" xfId="1" applyNumberFormat="1" applyFont="1" applyFill="1" applyBorder="1" applyAlignment="1">
      <alignment vertical="center" wrapText="1"/>
    </xf>
    <xf numFmtId="0" fontId="9" fillId="6" borderId="7" xfId="0" applyFont="1" applyFill="1" applyBorder="1" applyAlignment="1">
      <alignment horizontal="centerContinuous" vertical="center"/>
    </xf>
    <xf numFmtId="0" fontId="9" fillId="6" borderId="5" xfId="0" applyFont="1" applyFill="1" applyBorder="1" applyAlignment="1">
      <alignment horizontal="centerContinuous" vertical="center"/>
    </xf>
    <xf numFmtId="0" fontId="9" fillId="6" borderId="7" xfId="0" applyFont="1" applyFill="1" applyBorder="1" applyAlignment="1">
      <alignment horizontal="centerContinuous" vertical="center" wrapText="1"/>
    </xf>
    <xf numFmtId="0" fontId="21" fillId="6" borderId="1" xfId="0" applyFont="1" applyFill="1" applyBorder="1" applyAlignment="1">
      <alignment horizontal="center" vertical="center" wrapText="1"/>
    </xf>
    <xf numFmtId="0" fontId="10" fillId="12" borderId="12" xfId="0" applyFont="1" applyFill="1" applyBorder="1" applyAlignment="1">
      <alignment horizontal="centerContinuous" vertical="center" wrapText="1"/>
    </xf>
    <xf numFmtId="0" fontId="10" fillId="12" borderId="5" xfId="0" applyFont="1" applyFill="1" applyBorder="1" applyAlignment="1">
      <alignment horizontal="centerContinuous" vertical="center" wrapText="1"/>
    </xf>
    <xf numFmtId="0" fontId="18" fillId="10" borderId="1" xfId="0" applyFont="1" applyFill="1" applyBorder="1" applyAlignment="1">
      <alignment vertical="center" wrapText="1"/>
    </xf>
    <xf numFmtId="0" fontId="18" fillId="0" borderId="11" xfId="0" applyFont="1" applyBorder="1" applyAlignment="1">
      <alignment vertical="center" wrapText="1"/>
    </xf>
    <xf numFmtId="0" fontId="9" fillId="6" borderId="1" xfId="0" applyFont="1" applyFill="1" applyBorder="1" applyAlignment="1">
      <alignment horizontal="centerContinuous" vertical="center"/>
    </xf>
    <xf numFmtId="0" fontId="10" fillId="10" borderId="5" xfId="0" applyFont="1" applyFill="1" applyBorder="1" applyAlignment="1">
      <alignment horizontal="center" vertical="center" wrapText="1"/>
    </xf>
    <xf numFmtId="0" fontId="9" fillId="13" borderId="15" xfId="0" applyFont="1" applyFill="1" applyBorder="1" applyAlignment="1">
      <alignment vertical="center" wrapText="1"/>
    </xf>
    <xf numFmtId="0" fontId="9" fillId="13" borderId="13" xfId="0" applyFont="1" applyFill="1" applyBorder="1" applyAlignment="1">
      <alignment vertical="center" wrapText="1"/>
    </xf>
    <xf numFmtId="176" fontId="9" fillId="13" borderId="10" xfId="1" applyNumberFormat="1" applyFont="1" applyFill="1" applyBorder="1" applyAlignment="1">
      <alignment vertical="center" wrapText="1"/>
    </xf>
    <xf numFmtId="176" fontId="9" fillId="13" borderId="11" xfId="1" applyNumberFormat="1" applyFont="1" applyFill="1" applyBorder="1" applyAlignment="1">
      <alignment vertical="center" wrapText="1"/>
    </xf>
    <xf numFmtId="0" fontId="9" fillId="13" borderId="10" xfId="0" applyFont="1" applyFill="1" applyBorder="1" applyAlignment="1">
      <alignment vertical="center" wrapText="1"/>
    </xf>
    <xf numFmtId="0" fontId="9" fillId="13" borderId="11" xfId="0" applyFont="1" applyFill="1" applyBorder="1" applyAlignment="1">
      <alignment vertical="center" wrapText="1"/>
    </xf>
    <xf numFmtId="0" fontId="9" fillId="13" borderId="8" xfId="0" applyFont="1" applyFill="1" applyBorder="1" applyAlignment="1">
      <alignment vertical="center" wrapText="1"/>
    </xf>
    <xf numFmtId="0" fontId="9" fillId="13" borderId="4" xfId="0" applyFont="1" applyFill="1" applyBorder="1" applyAlignment="1">
      <alignment vertical="center" wrapText="1"/>
    </xf>
    <xf numFmtId="176" fontId="9" fillId="15" borderId="1" xfId="1" applyNumberFormat="1" applyFont="1" applyFill="1" applyBorder="1" applyAlignment="1">
      <alignment vertical="center" wrapText="1"/>
    </xf>
    <xf numFmtId="0" fontId="14" fillId="13" borderId="0" xfId="0" applyFont="1" applyFill="1" applyAlignment="1">
      <alignment vertical="center"/>
    </xf>
    <xf numFmtId="0" fontId="9" fillId="10" borderId="1" xfId="0" applyFont="1" applyFill="1" applyBorder="1" applyAlignment="1">
      <alignment horizontal="center" vertical="center"/>
    </xf>
    <xf numFmtId="0" fontId="9" fillId="13" borderId="9" xfId="0" applyFont="1" applyFill="1" applyBorder="1" applyAlignment="1">
      <alignment horizontal="center" vertical="center" wrapText="1"/>
    </xf>
    <xf numFmtId="0" fontId="9" fillId="13" borderId="3" xfId="0" applyFont="1" applyFill="1" applyBorder="1" applyAlignment="1">
      <alignment horizontal="center" vertical="center" wrapText="1"/>
    </xf>
    <xf numFmtId="0" fontId="18" fillId="10" borderId="5" xfId="0" applyFont="1" applyFill="1" applyBorder="1" applyAlignment="1">
      <alignment vertical="center" wrapText="1"/>
    </xf>
    <xf numFmtId="0" fontId="18" fillId="10" borderId="12" xfId="0" applyFont="1" applyFill="1" applyBorder="1" applyAlignment="1">
      <alignment vertical="center" wrapText="1"/>
    </xf>
    <xf numFmtId="0" fontId="9" fillId="10" borderId="0" xfId="0" applyFont="1" applyFill="1" applyAlignment="1">
      <alignment vertical="center"/>
    </xf>
    <xf numFmtId="0" fontId="18" fillId="10" borderId="11" xfId="0" applyFont="1" applyFill="1" applyBorder="1" applyAlignment="1">
      <alignment vertical="center" wrapText="1"/>
    </xf>
    <xf numFmtId="38" fontId="10" fillId="8" borderId="5" xfId="1" applyFont="1" applyFill="1" applyBorder="1" applyAlignment="1">
      <alignment vertical="center" wrapText="1"/>
    </xf>
    <xf numFmtId="0" fontId="10" fillId="8" borderId="9" xfId="0" applyFont="1" applyFill="1" applyBorder="1" applyAlignment="1">
      <alignment vertical="center" wrapText="1"/>
    </xf>
    <xf numFmtId="0" fontId="10" fillId="10" borderId="12" xfId="0" applyFont="1" applyFill="1" applyBorder="1" applyAlignment="1">
      <alignment vertical="center" wrapText="1"/>
    </xf>
    <xf numFmtId="38" fontId="10" fillId="8" borderId="9" xfId="1" applyFont="1" applyFill="1" applyBorder="1" applyAlignment="1">
      <alignment vertical="center" wrapText="1"/>
    </xf>
    <xf numFmtId="38" fontId="10" fillId="10" borderId="7" xfId="1" applyFont="1" applyFill="1" applyBorder="1" applyAlignment="1">
      <alignment horizontal="center" vertical="center" wrapText="1"/>
    </xf>
    <xf numFmtId="38" fontId="10" fillId="10" borderId="12" xfId="1" applyFont="1" applyFill="1" applyBorder="1" applyAlignment="1">
      <alignment horizontal="center" vertical="center" wrapText="1"/>
    </xf>
    <xf numFmtId="0" fontId="9" fillId="0" borderId="0" xfId="0" applyFont="1"/>
    <xf numFmtId="0" fontId="9" fillId="0" borderId="1" xfId="0" applyFont="1" applyBorder="1"/>
    <xf numFmtId="0" fontId="9" fillId="6" borderId="1" xfId="0" applyFont="1" applyFill="1" applyBorder="1"/>
    <xf numFmtId="0" fontId="9" fillId="0" borderId="0" xfId="0" applyFont="1" applyAlignment="1">
      <alignment horizontal="center"/>
    </xf>
    <xf numFmtId="0" fontId="9" fillId="6" borderId="1" xfId="0" applyFont="1" applyFill="1" applyBorder="1" applyAlignment="1">
      <alignment horizontal="center" vertical="center" shrinkToFit="1"/>
    </xf>
    <xf numFmtId="0" fontId="9" fillId="13" borderId="0" xfId="0" applyFont="1" applyFill="1" applyAlignment="1">
      <alignment horizontal="center" vertical="center" shrinkToFit="1"/>
    </xf>
    <xf numFmtId="177" fontId="9" fillId="0" borderId="0" xfId="0" applyNumberFormat="1" applyFont="1"/>
    <xf numFmtId="178" fontId="9" fillId="0" borderId="1" xfId="0" applyNumberFormat="1" applyFont="1" applyBorder="1"/>
    <xf numFmtId="0" fontId="9" fillId="6" borderId="16" xfId="0" applyFont="1" applyFill="1" applyBorder="1" applyAlignment="1">
      <alignment vertical="center" wrapText="1"/>
    </xf>
    <xf numFmtId="0" fontId="9" fillId="6" borderId="17" xfId="0" applyFont="1" applyFill="1" applyBorder="1" applyAlignment="1">
      <alignment vertical="center" wrapText="1"/>
    </xf>
    <xf numFmtId="0" fontId="9" fillId="10" borderId="18" xfId="0" applyFont="1" applyFill="1" applyBorder="1" applyAlignment="1">
      <alignment horizontal="center" vertical="center"/>
    </xf>
    <xf numFmtId="0" fontId="9" fillId="6" borderId="19" xfId="0" applyFont="1" applyFill="1" applyBorder="1" applyAlignment="1">
      <alignment vertical="center" wrapText="1"/>
    </xf>
    <xf numFmtId="0" fontId="9" fillId="10" borderId="20" xfId="0" applyFont="1" applyFill="1" applyBorder="1" applyAlignment="1">
      <alignment horizontal="center" vertical="center"/>
    </xf>
    <xf numFmtId="0" fontId="19" fillId="14" borderId="24" xfId="0" applyFont="1" applyFill="1" applyBorder="1" applyAlignment="1">
      <alignment horizontal="centerContinuous" vertical="center" wrapText="1"/>
    </xf>
    <xf numFmtId="176" fontId="9" fillId="10" borderId="25" xfId="1" applyNumberFormat="1" applyFont="1" applyFill="1" applyBorder="1" applyAlignment="1">
      <alignment horizontal="center" vertical="center" wrapText="1"/>
    </xf>
    <xf numFmtId="0" fontId="9" fillId="16" borderId="21" xfId="0" applyFont="1" applyFill="1" applyBorder="1" applyAlignment="1">
      <alignment vertical="center" wrapText="1"/>
    </xf>
    <xf numFmtId="0" fontId="9" fillId="16" borderId="23" xfId="0" applyFont="1" applyFill="1" applyBorder="1" applyAlignment="1">
      <alignment vertical="center" wrapText="1"/>
    </xf>
    <xf numFmtId="0" fontId="9" fillId="16" borderId="0" xfId="0" applyFont="1" applyFill="1" applyAlignment="1">
      <alignment vertical="center" wrapText="1"/>
    </xf>
    <xf numFmtId="0" fontId="9" fillId="16" borderId="22" xfId="0" applyFont="1" applyFill="1" applyBorder="1" applyAlignment="1">
      <alignment vertical="center" wrapText="1"/>
    </xf>
    <xf numFmtId="0" fontId="22" fillId="0" borderId="0" xfId="0" applyFont="1" applyAlignment="1">
      <alignment vertical="center"/>
    </xf>
    <xf numFmtId="0" fontId="22" fillId="0" borderId="1" xfId="0" applyFont="1" applyBorder="1" applyAlignment="1">
      <alignment vertical="center"/>
    </xf>
    <xf numFmtId="58" fontId="22" fillId="0" borderId="1" xfId="0" applyNumberFormat="1" applyFont="1" applyBorder="1" applyAlignment="1">
      <alignment vertical="center"/>
    </xf>
    <xf numFmtId="3" fontId="22" fillId="0" borderId="1" xfId="0" applyNumberFormat="1" applyFont="1" applyBorder="1" applyAlignment="1">
      <alignment vertical="center"/>
    </xf>
    <xf numFmtId="0" fontId="22" fillId="6" borderId="1" xfId="0" applyFont="1" applyFill="1" applyBorder="1" applyAlignment="1">
      <alignment vertical="center"/>
    </xf>
    <xf numFmtId="179" fontId="2" fillId="0" borderId="0" xfId="2" applyNumberFormat="1" applyFont="1">
      <alignment vertical="center"/>
    </xf>
    <xf numFmtId="179" fontId="4" fillId="0" borderId="0" xfId="2" applyNumberFormat="1" applyFont="1" applyAlignment="1">
      <alignment horizontal="center" vertical="center"/>
    </xf>
    <xf numFmtId="179" fontId="4" fillId="0" borderId="0" xfId="2" applyNumberFormat="1" applyFont="1">
      <alignment vertical="center"/>
    </xf>
    <xf numFmtId="179" fontId="4" fillId="10" borderId="26" xfId="2" applyNumberFormat="1" applyFont="1" applyFill="1" applyBorder="1">
      <alignment vertical="center"/>
    </xf>
    <xf numFmtId="179" fontId="4" fillId="10" borderId="27" xfId="2" applyNumberFormat="1" applyFont="1" applyFill="1" applyBorder="1" applyAlignment="1">
      <alignment horizontal="center" vertical="center"/>
    </xf>
    <xf numFmtId="179" fontId="2" fillId="17" borderId="28" xfId="2" applyNumberFormat="1" applyFont="1" applyFill="1" applyBorder="1">
      <alignment vertical="center"/>
    </xf>
    <xf numFmtId="179" fontId="2" fillId="10" borderId="27" xfId="2" applyNumberFormat="1" applyFont="1" applyFill="1" applyBorder="1">
      <alignment vertical="center"/>
    </xf>
    <xf numFmtId="179" fontId="4" fillId="10" borderId="18" xfId="2" applyNumberFormat="1" applyFont="1" applyFill="1" applyBorder="1">
      <alignment vertical="center"/>
    </xf>
    <xf numFmtId="179" fontId="4" fillId="10" borderId="29" xfId="2" applyNumberFormat="1" applyFont="1" applyFill="1" applyBorder="1">
      <alignment vertical="center"/>
    </xf>
    <xf numFmtId="179" fontId="4" fillId="10" borderId="30" xfId="2" applyNumberFormat="1" applyFont="1" applyFill="1" applyBorder="1" applyAlignment="1">
      <alignment horizontal="center" vertical="center"/>
    </xf>
    <xf numFmtId="180" fontId="2" fillId="17" borderId="31" xfId="2" applyNumberFormat="1" applyFont="1" applyFill="1" applyBorder="1">
      <alignment vertical="center"/>
    </xf>
    <xf numFmtId="179" fontId="2" fillId="10" borderId="30" xfId="2" applyNumberFormat="1" applyFont="1" applyFill="1" applyBorder="1">
      <alignment vertical="center"/>
    </xf>
    <xf numFmtId="179" fontId="4" fillId="10" borderId="25" xfId="2" applyNumberFormat="1" applyFont="1" applyFill="1" applyBorder="1">
      <alignment vertical="center"/>
    </xf>
    <xf numFmtId="179" fontId="4" fillId="10" borderId="32" xfId="2" applyNumberFormat="1" applyFont="1" applyFill="1" applyBorder="1">
      <alignment vertical="center"/>
    </xf>
    <xf numFmtId="179" fontId="4" fillId="10" borderId="4" xfId="2" applyNumberFormat="1" applyFont="1" applyFill="1" applyBorder="1" applyAlignment="1">
      <alignment horizontal="center" vertical="center"/>
    </xf>
    <xf numFmtId="179" fontId="2" fillId="17" borderId="8" xfId="2" applyNumberFormat="1" applyFont="1" applyFill="1" applyBorder="1">
      <alignment vertical="center"/>
    </xf>
    <xf numFmtId="179" fontId="2" fillId="10" borderId="4" xfId="2" applyNumberFormat="1" applyFont="1" applyFill="1" applyBorder="1">
      <alignment vertical="center"/>
    </xf>
    <xf numFmtId="179" fontId="4" fillId="10" borderId="33" xfId="2" applyNumberFormat="1" applyFont="1" applyFill="1" applyBorder="1">
      <alignment vertical="center"/>
    </xf>
    <xf numFmtId="179" fontId="4" fillId="10" borderId="34" xfId="2" applyNumberFormat="1" applyFont="1" applyFill="1" applyBorder="1">
      <alignment vertical="center"/>
    </xf>
    <xf numFmtId="179" fontId="4" fillId="10" borderId="5" xfId="2" applyNumberFormat="1" applyFont="1" applyFill="1" applyBorder="1" applyAlignment="1">
      <alignment horizontal="center" vertical="center"/>
    </xf>
    <xf numFmtId="180" fontId="2" fillId="17" borderId="7" xfId="2" applyNumberFormat="1" applyFont="1" applyFill="1" applyBorder="1">
      <alignment vertical="center"/>
    </xf>
    <xf numFmtId="179" fontId="2" fillId="10" borderId="5" xfId="2" applyNumberFormat="1" applyFont="1" applyFill="1" applyBorder="1">
      <alignment vertical="center"/>
    </xf>
    <xf numFmtId="179" fontId="4" fillId="10" borderId="20" xfId="2" applyNumberFormat="1" applyFont="1" applyFill="1" applyBorder="1">
      <alignment vertical="center"/>
    </xf>
    <xf numFmtId="179" fontId="4" fillId="10" borderId="23" xfId="2" applyNumberFormat="1" applyFont="1" applyFill="1" applyBorder="1">
      <alignment vertical="center"/>
    </xf>
    <xf numFmtId="179" fontId="4" fillId="10" borderId="35" xfId="2" applyNumberFormat="1" applyFont="1" applyFill="1" applyBorder="1" applyAlignment="1">
      <alignment horizontal="center" vertical="center"/>
    </xf>
    <xf numFmtId="179" fontId="2" fillId="17" borderId="36" xfId="2" applyNumberFormat="1" applyFont="1" applyFill="1" applyBorder="1">
      <alignment vertical="center"/>
    </xf>
    <xf numFmtId="179" fontId="2" fillId="10" borderId="35" xfId="2" applyNumberFormat="1" applyFont="1" applyFill="1" applyBorder="1">
      <alignment vertical="center"/>
    </xf>
    <xf numFmtId="179" fontId="4" fillId="10" borderId="37" xfId="2" applyNumberFormat="1" applyFont="1" applyFill="1" applyBorder="1">
      <alignment vertical="center"/>
    </xf>
    <xf numFmtId="179" fontId="4" fillId="10" borderId="7" xfId="2" applyNumberFormat="1" applyFont="1" applyFill="1" applyBorder="1">
      <alignment vertical="center"/>
    </xf>
    <xf numFmtId="9" fontId="4" fillId="4" borderId="7" xfId="3" applyFont="1" applyFill="1" applyBorder="1">
      <alignment vertical="center"/>
    </xf>
    <xf numFmtId="179" fontId="4" fillId="10" borderId="5" xfId="2" applyNumberFormat="1" applyFont="1" applyFill="1" applyBorder="1">
      <alignment vertical="center"/>
    </xf>
    <xf numFmtId="179" fontId="4" fillId="10" borderId="1" xfId="2" applyNumberFormat="1" applyFont="1" applyFill="1" applyBorder="1">
      <alignment vertical="center"/>
    </xf>
    <xf numFmtId="9" fontId="4" fillId="6" borderId="7" xfId="3" applyFont="1" applyFill="1" applyBorder="1">
      <alignment vertical="center"/>
    </xf>
    <xf numFmtId="179" fontId="4" fillId="6" borderId="7" xfId="2" applyNumberFormat="1" applyFont="1" applyFill="1" applyBorder="1" applyAlignment="1">
      <alignment horizontal="right" vertical="center"/>
    </xf>
    <xf numFmtId="0" fontId="4" fillId="6" borderId="7" xfId="2" applyFont="1" applyFill="1" applyBorder="1" applyAlignment="1">
      <alignment horizontal="right" vertical="center" shrinkToFit="1"/>
    </xf>
    <xf numFmtId="0" fontId="4" fillId="18" borderId="7" xfId="2" applyFont="1" applyFill="1" applyBorder="1" applyAlignment="1">
      <alignment horizontal="right" vertical="center" shrinkToFit="1"/>
    </xf>
    <xf numFmtId="0" fontId="4" fillId="4" borderId="7" xfId="2" applyFont="1" applyFill="1" applyBorder="1" applyAlignment="1">
      <alignment horizontal="right" vertical="center" shrinkToFit="1"/>
    </xf>
    <xf numFmtId="179" fontId="4" fillId="18" borderId="7" xfId="2" applyNumberFormat="1" applyFont="1" applyFill="1" applyBorder="1" applyAlignment="1">
      <alignment horizontal="right" vertical="center"/>
    </xf>
    <xf numFmtId="179" fontId="4" fillId="10" borderId="5" xfId="2" applyNumberFormat="1" applyFont="1" applyFill="1" applyBorder="1" applyAlignment="1">
      <alignment horizontal="left" vertical="center"/>
    </xf>
    <xf numFmtId="179" fontId="4" fillId="10" borderId="1" xfId="2" quotePrefix="1" applyNumberFormat="1" applyFont="1" applyFill="1" applyBorder="1">
      <alignment vertical="center"/>
    </xf>
    <xf numFmtId="179" fontId="4" fillId="10" borderId="7" xfId="2" applyNumberFormat="1" applyFont="1" applyFill="1" applyBorder="1" applyAlignment="1">
      <alignment horizontal="right" vertical="center" shrinkToFit="1"/>
    </xf>
    <xf numFmtId="179" fontId="4" fillId="10" borderId="5" xfId="2" applyNumberFormat="1" applyFont="1" applyFill="1" applyBorder="1" applyAlignment="1">
      <alignment horizontal="left" vertical="center" shrinkToFit="1"/>
    </xf>
    <xf numFmtId="180" fontId="4" fillId="0" borderId="0" xfId="2" applyNumberFormat="1" applyFont="1">
      <alignment vertical="center"/>
    </xf>
    <xf numFmtId="179" fontId="4" fillId="0" borderId="7" xfId="2" applyNumberFormat="1" applyFont="1" applyBorder="1" applyAlignment="1">
      <alignment horizontal="right" vertical="center" shrinkToFit="1"/>
    </xf>
    <xf numFmtId="179" fontId="4" fillId="10" borderId="7" xfId="2" applyNumberFormat="1" applyFont="1" applyFill="1" applyBorder="1" applyAlignment="1">
      <alignment vertical="center" shrinkToFit="1"/>
    </xf>
    <xf numFmtId="179" fontId="4" fillId="10" borderId="14" xfId="2" applyNumberFormat="1" applyFont="1" applyFill="1" applyBorder="1">
      <alignment vertical="center"/>
    </xf>
    <xf numFmtId="179" fontId="4" fillId="10" borderId="2" xfId="2" applyNumberFormat="1" applyFont="1" applyFill="1" applyBorder="1" applyAlignment="1">
      <alignment horizontal="center" vertical="center"/>
    </xf>
    <xf numFmtId="179" fontId="4" fillId="10" borderId="14" xfId="2" applyNumberFormat="1" applyFont="1" applyFill="1" applyBorder="1" applyAlignment="1">
      <alignment vertical="center" shrinkToFit="1"/>
    </xf>
    <xf numFmtId="179" fontId="4" fillId="10" borderId="2" xfId="2" applyNumberFormat="1" applyFont="1" applyFill="1" applyBorder="1" applyAlignment="1">
      <alignment horizontal="left" vertical="center" shrinkToFit="1"/>
    </xf>
    <xf numFmtId="179" fontId="4" fillId="10" borderId="6" xfId="2" quotePrefix="1" applyNumberFormat="1" applyFont="1" applyFill="1" applyBorder="1">
      <alignment vertical="center"/>
    </xf>
    <xf numFmtId="179" fontId="4" fillId="10" borderId="38" xfId="2" applyNumberFormat="1" applyFont="1" applyFill="1" applyBorder="1">
      <alignment vertical="center"/>
    </xf>
    <xf numFmtId="179" fontId="4" fillId="10" borderId="39" xfId="2" applyNumberFormat="1" applyFont="1" applyFill="1" applyBorder="1" applyAlignment="1">
      <alignment horizontal="center" vertical="center"/>
    </xf>
    <xf numFmtId="179" fontId="26" fillId="19" borderId="40" xfId="2" applyNumberFormat="1" applyFont="1" applyFill="1" applyBorder="1" applyAlignment="1">
      <alignment vertical="center" shrinkToFit="1"/>
    </xf>
    <xf numFmtId="179" fontId="26" fillId="10" borderId="39" xfId="2" applyNumberFormat="1" applyFont="1" applyFill="1" applyBorder="1">
      <alignment vertical="center"/>
    </xf>
    <xf numFmtId="179" fontId="4" fillId="10" borderId="41" xfId="2" quotePrefix="1" applyNumberFormat="1" applyFont="1" applyFill="1" applyBorder="1">
      <alignment vertical="center"/>
    </xf>
    <xf numFmtId="181" fontId="4" fillId="0" borderId="0" xfId="2" applyNumberFormat="1" applyFont="1">
      <alignment vertical="center"/>
    </xf>
    <xf numFmtId="181" fontId="4" fillId="0" borderId="0" xfId="2" applyNumberFormat="1" applyFont="1" applyAlignment="1">
      <alignment horizontal="center" vertical="center"/>
    </xf>
    <xf numFmtId="179" fontId="4" fillId="10" borderId="1" xfId="0" quotePrefix="1" applyNumberFormat="1" applyFont="1" applyFill="1" applyBorder="1" applyAlignment="1">
      <alignment vertical="center"/>
    </xf>
    <xf numFmtId="0" fontId="9" fillId="10" borderId="1" xfId="0" applyFont="1" applyFill="1" applyBorder="1" applyAlignment="1">
      <alignment vertical="center" shrinkToFit="1"/>
    </xf>
    <xf numFmtId="0" fontId="29" fillId="10" borderId="0" xfId="0" applyFont="1" applyFill="1" applyAlignment="1">
      <alignment vertical="center" wrapText="1"/>
    </xf>
    <xf numFmtId="0" fontId="30" fillId="10" borderId="0" xfId="0" applyFont="1" applyFill="1" applyAlignment="1">
      <alignment vertical="center"/>
    </xf>
    <xf numFmtId="0" fontId="33" fillId="14" borderId="38" xfId="0" applyFont="1" applyFill="1" applyBorder="1" applyAlignment="1">
      <alignment vertical="center"/>
    </xf>
    <xf numFmtId="0" fontId="33" fillId="14" borderId="42" xfId="0" applyFont="1" applyFill="1" applyBorder="1" applyAlignment="1">
      <alignment vertical="center"/>
    </xf>
    <xf numFmtId="0" fontId="33" fillId="14" borderId="43" xfId="0" applyFont="1" applyFill="1" applyBorder="1" applyAlignment="1">
      <alignment vertical="center"/>
    </xf>
    <xf numFmtId="0" fontId="10" fillId="4" borderId="9" xfId="0" applyFont="1" applyFill="1" applyBorder="1" applyAlignment="1">
      <alignment horizontal="center" vertical="center"/>
    </xf>
    <xf numFmtId="0" fontId="10" fillId="4" borderId="9" xfId="0" applyFont="1" applyFill="1" applyBorder="1" applyAlignment="1">
      <alignment horizontal="center" vertical="center" wrapText="1"/>
    </xf>
    <xf numFmtId="0" fontId="10" fillId="4" borderId="1" xfId="0" applyFont="1" applyFill="1" applyBorder="1" applyAlignment="1">
      <alignment horizontal="center" vertical="center"/>
    </xf>
    <xf numFmtId="0" fontId="9" fillId="10" borderId="0" xfId="0" applyFont="1" applyFill="1" applyAlignment="1">
      <alignment horizontal="left" vertical="center"/>
    </xf>
    <xf numFmtId="0" fontId="34" fillId="4" borderId="1" xfId="0" applyFont="1" applyFill="1" applyBorder="1" applyAlignment="1">
      <alignment horizontal="center" vertical="center"/>
    </xf>
    <xf numFmtId="0" fontId="34" fillId="8" borderId="1" xfId="0" applyFont="1" applyFill="1" applyBorder="1" applyAlignment="1">
      <alignment horizontal="center" vertical="center"/>
    </xf>
    <xf numFmtId="0" fontId="9" fillId="6" borderId="1" xfId="0" applyFont="1" applyFill="1" applyBorder="1" applyAlignment="1">
      <alignment vertical="center" shrinkToFit="1"/>
    </xf>
    <xf numFmtId="0" fontId="9" fillId="6" borderId="1" xfId="0" applyFont="1" applyFill="1" applyBorder="1" applyAlignment="1">
      <alignment horizontal="right" vertical="center" wrapText="1" indent="1"/>
    </xf>
    <xf numFmtId="0" fontId="32" fillId="14" borderId="15" xfId="0" applyFont="1" applyFill="1" applyBorder="1" applyAlignment="1">
      <alignment vertical="center" wrapText="1"/>
    </xf>
    <xf numFmtId="0" fontId="9" fillId="10" borderId="10" xfId="0" applyFont="1" applyFill="1" applyBorder="1" applyAlignment="1">
      <alignment vertical="center" wrapText="1"/>
    </xf>
    <xf numFmtId="0" fontId="9" fillId="10" borderId="11" xfId="0" applyFont="1" applyFill="1" applyBorder="1" applyAlignment="1">
      <alignment vertical="center" wrapText="1"/>
    </xf>
    <xf numFmtId="0" fontId="35" fillId="10" borderId="0" xfId="0" applyFont="1" applyFill="1" applyAlignment="1">
      <alignment horizontal="left" vertical="center"/>
    </xf>
    <xf numFmtId="0" fontId="35" fillId="10" borderId="0" xfId="0" applyFont="1" applyFill="1" applyAlignment="1">
      <alignment vertical="center" wrapText="1"/>
    </xf>
    <xf numFmtId="0" fontId="10" fillId="10" borderId="0" xfId="0" applyFont="1" applyFill="1" applyAlignment="1">
      <alignment vertical="center" wrapText="1"/>
    </xf>
    <xf numFmtId="0" fontId="10" fillId="10" borderId="0" xfId="0" applyFont="1" applyFill="1" applyAlignment="1">
      <alignment horizontal="center" vertical="center" wrapText="1"/>
    </xf>
    <xf numFmtId="0" fontId="9" fillId="10" borderId="8" xfId="0" applyFont="1" applyFill="1" applyBorder="1" applyAlignment="1">
      <alignment vertical="center" wrapText="1"/>
    </xf>
    <xf numFmtId="0" fontId="9" fillId="10" borderId="13" xfId="0" applyFont="1" applyFill="1" applyBorder="1" applyAlignment="1">
      <alignment vertical="center" wrapText="1"/>
    </xf>
    <xf numFmtId="0" fontId="9" fillId="10" borderId="4" xfId="0" applyFont="1" applyFill="1" applyBorder="1" applyAlignment="1">
      <alignment vertical="center" wrapText="1"/>
    </xf>
    <xf numFmtId="0" fontId="31" fillId="14" borderId="14" xfId="0" applyFont="1" applyFill="1" applyBorder="1" applyAlignment="1">
      <alignment vertical="center"/>
    </xf>
    <xf numFmtId="0" fontId="32" fillId="14" borderId="2" xfId="0" applyFont="1" applyFill="1" applyBorder="1" applyAlignment="1">
      <alignment vertical="center" wrapText="1"/>
    </xf>
    <xf numFmtId="0" fontId="9" fillId="14" borderId="15" xfId="0" applyFont="1" applyFill="1" applyBorder="1" applyAlignment="1">
      <alignment vertical="center" wrapText="1"/>
    </xf>
    <xf numFmtId="0" fontId="9" fillId="10" borderId="13" xfId="0" applyFont="1" applyFill="1" applyBorder="1" applyAlignment="1">
      <alignment horizontal="left" vertical="center" wrapText="1"/>
    </xf>
    <xf numFmtId="0" fontId="9" fillId="11" borderId="7" xfId="0" applyFont="1" applyFill="1" applyBorder="1" applyAlignment="1">
      <alignment vertical="center"/>
    </xf>
    <xf numFmtId="0" fontId="9" fillId="11" borderId="12" xfId="0" applyFont="1" applyFill="1" applyBorder="1" applyAlignment="1">
      <alignment vertical="center" wrapText="1"/>
    </xf>
    <xf numFmtId="0" fontId="9" fillId="11" borderId="5" xfId="0" applyFont="1" applyFill="1" applyBorder="1" applyAlignment="1">
      <alignment vertical="center" wrapText="1"/>
    </xf>
    <xf numFmtId="0" fontId="30" fillId="10" borderId="13" xfId="0" applyFont="1" applyFill="1" applyBorder="1" applyAlignment="1">
      <alignment horizontal="center" vertical="center" wrapText="1"/>
    </xf>
    <xf numFmtId="0" fontId="29" fillId="10" borderId="13" xfId="0" applyFont="1" applyFill="1" applyBorder="1" applyAlignment="1">
      <alignment horizontal="center" vertical="center" wrapText="1"/>
    </xf>
    <xf numFmtId="0" fontId="31" fillId="20" borderId="14" xfId="0" applyFont="1" applyFill="1" applyBorder="1" applyAlignment="1">
      <alignment vertical="center"/>
    </xf>
    <xf numFmtId="0" fontId="32" fillId="20" borderId="15" xfId="0" applyFont="1" applyFill="1" applyBorder="1" applyAlignment="1">
      <alignment vertical="center" wrapText="1"/>
    </xf>
    <xf numFmtId="0" fontId="32" fillId="20" borderId="2" xfId="0" applyFont="1" applyFill="1" applyBorder="1" applyAlignment="1">
      <alignment vertical="center" wrapText="1"/>
    </xf>
    <xf numFmtId="0" fontId="38" fillId="10" borderId="0" xfId="0" applyFont="1" applyFill="1" applyAlignment="1">
      <alignment horizontal="center" vertical="center" wrapText="1"/>
    </xf>
    <xf numFmtId="0" fontId="9" fillId="21" borderId="0" xfId="0" applyFont="1" applyFill="1" applyAlignment="1">
      <alignment vertical="center" wrapText="1"/>
    </xf>
    <xf numFmtId="0" fontId="39" fillId="13" borderId="14" xfId="0" applyFont="1" applyFill="1" applyBorder="1"/>
    <xf numFmtId="0" fontId="9" fillId="13" borderId="2" xfId="0" applyFont="1" applyFill="1" applyBorder="1" applyAlignment="1">
      <alignment vertical="center" wrapText="1"/>
    </xf>
    <xf numFmtId="0" fontId="41" fillId="13" borderId="10" xfId="0" applyFont="1" applyFill="1" applyBorder="1" applyAlignment="1">
      <alignment vertical="top"/>
    </xf>
    <xf numFmtId="0" fontId="39" fillId="13" borderId="10" xfId="0" applyFont="1" applyFill="1" applyBorder="1" applyAlignment="1">
      <alignment vertical="top"/>
    </xf>
    <xf numFmtId="0" fontId="40" fillId="13" borderId="10" xfId="0" applyFont="1" applyFill="1" applyBorder="1" applyAlignment="1">
      <alignment vertical="top"/>
    </xf>
    <xf numFmtId="0" fontId="39" fillId="13" borderId="10" xfId="0" applyFont="1" applyFill="1" applyBorder="1"/>
    <xf numFmtId="0" fontId="41" fillId="13" borderId="8" xfId="0" applyFont="1" applyFill="1" applyBorder="1" applyAlignment="1">
      <alignment vertical="top"/>
    </xf>
    <xf numFmtId="0" fontId="27" fillId="11" borderId="1" xfId="0" applyFont="1" applyFill="1" applyBorder="1" applyAlignment="1">
      <alignment horizontal="center" vertical="center" wrapText="1"/>
    </xf>
    <xf numFmtId="0" fontId="9" fillId="6" borderId="3" xfId="0" applyFont="1" applyFill="1" applyBorder="1" applyAlignment="1">
      <alignment horizontal="right" vertical="center" wrapText="1" indent="1"/>
    </xf>
    <xf numFmtId="0" fontId="9" fillId="6" borderId="24" xfId="0" applyFont="1" applyFill="1" applyBorder="1" applyAlignment="1">
      <alignment horizontal="right" vertical="center" wrapText="1" indent="1"/>
    </xf>
    <xf numFmtId="0" fontId="37" fillId="10" borderId="45" xfId="0" applyFont="1" applyFill="1" applyBorder="1" applyAlignment="1">
      <alignment vertical="center"/>
    </xf>
    <xf numFmtId="0" fontId="9" fillId="10" borderId="45" xfId="0" applyFont="1" applyFill="1" applyBorder="1" applyAlignment="1">
      <alignment vertical="center" wrapText="1"/>
    </xf>
    <xf numFmtId="0" fontId="12" fillId="10" borderId="0" xfId="0" applyFont="1" applyFill="1" applyAlignment="1">
      <alignment vertical="center"/>
    </xf>
    <xf numFmtId="0" fontId="12" fillId="10" borderId="45" xfId="0" applyFont="1" applyFill="1" applyBorder="1" applyAlignment="1">
      <alignment vertical="center"/>
    </xf>
    <xf numFmtId="0" fontId="29" fillId="10" borderId="45" xfId="0" applyFont="1" applyFill="1" applyBorder="1" applyAlignment="1">
      <alignment vertical="center" wrapText="1"/>
    </xf>
    <xf numFmtId="0" fontId="37" fillId="10" borderId="0" xfId="0" applyFont="1" applyFill="1" applyAlignment="1">
      <alignment vertical="center"/>
    </xf>
    <xf numFmtId="0" fontId="10" fillId="10" borderId="0" xfId="0" applyFont="1" applyFill="1" applyAlignment="1">
      <alignment vertical="center"/>
    </xf>
    <xf numFmtId="0" fontId="9" fillId="22" borderId="10" xfId="0" applyFont="1" applyFill="1" applyBorder="1" applyAlignment="1">
      <alignment vertical="center" wrapText="1"/>
    </xf>
    <xf numFmtId="0" fontId="9" fillId="22" borderId="8" xfId="0" applyFont="1" applyFill="1" applyBorder="1" applyAlignment="1">
      <alignment vertical="center" wrapText="1"/>
    </xf>
    <xf numFmtId="0" fontId="9" fillId="22" borderId="0" xfId="0" applyFont="1" applyFill="1" applyAlignment="1">
      <alignment vertical="center"/>
    </xf>
    <xf numFmtId="0" fontId="9" fillId="22" borderId="0" xfId="0" applyFont="1" applyFill="1" applyAlignment="1">
      <alignment vertical="center" wrapText="1"/>
    </xf>
    <xf numFmtId="0" fontId="9" fillId="22" borderId="11" xfId="0" applyFont="1" applyFill="1" applyBorder="1" applyAlignment="1">
      <alignment vertical="center" wrapText="1"/>
    </xf>
    <xf numFmtId="0" fontId="9" fillId="22" borderId="11" xfId="0" applyFont="1" applyFill="1" applyBorder="1" applyAlignment="1">
      <alignment vertical="center"/>
    </xf>
    <xf numFmtId="0" fontId="9" fillId="22" borderId="4" xfId="0" applyFont="1" applyFill="1" applyBorder="1" applyAlignment="1">
      <alignment vertical="center" wrapText="1"/>
    </xf>
    <xf numFmtId="0" fontId="9" fillId="22" borderId="13" xfId="0" applyFont="1" applyFill="1" applyBorder="1" applyAlignment="1">
      <alignment vertical="center" wrapText="1"/>
    </xf>
    <xf numFmtId="0" fontId="44" fillId="22" borderId="0" xfId="0" applyFont="1" applyFill="1" applyAlignment="1">
      <alignment vertical="center"/>
    </xf>
    <xf numFmtId="0" fontId="44" fillId="22" borderId="0" xfId="0" applyFont="1" applyFill="1" applyAlignment="1">
      <alignment horizontal="left" vertical="center"/>
    </xf>
    <xf numFmtId="0" fontId="45" fillId="22" borderId="0" xfId="0" applyFont="1" applyFill="1" applyAlignment="1">
      <alignment horizontal="left" vertical="center"/>
    </xf>
    <xf numFmtId="0" fontId="9" fillId="22" borderId="0" xfId="0" applyFont="1" applyFill="1" applyAlignment="1">
      <alignment vertical="top"/>
    </xf>
    <xf numFmtId="0" fontId="9" fillId="22" borderId="13" xfId="0" applyFont="1" applyFill="1" applyBorder="1" applyAlignment="1">
      <alignment vertical="top"/>
    </xf>
    <xf numFmtId="0" fontId="47" fillId="6" borderId="1" xfId="0" applyFont="1" applyFill="1" applyBorder="1" applyAlignment="1">
      <alignment horizontal="center" vertical="center" wrapText="1"/>
    </xf>
    <xf numFmtId="0" fontId="30" fillId="6" borderId="12" xfId="0" applyFont="1" applyFill="1" applyBorder="1" applyAlignment="1">
      <alignment horizontal="center" vertical="center" wrapText="1"/>
    </xf>
    <xf numFmtId="0" fontId="30" fillId="10" borderId="12" xfId="0" applyFont="1" applyFill="1" applyBorder="1" applyAlignment="1">
      <alignment horizontal="center" vertical="center" wrapText="1"/>
    </xf>
    <xf numFmtId="0" fontId="30" fillId="10" borderId="0" xfId="0" applyFont="1" applyFill="1" applyAlignment="1">
      <alignment horizontal="center" vertical="center" wrapText="1"/>
    </xf>
    <xf numFmtId="182" fontId="29" fillId="10" borderId="7" xfId="0" applyNumberFormat="1" applyFont="1" applyFill="1" applyBorder="1" applyAlignment="1">
      <alignment horizontal="right" vertical="center" wrapText="1"/>
    </xf>
    <xf numFmtId="182" fontId="29" fillId="10" borderId="5" xfId="0" applyNumberFormat="1" applyFont="1" applyFill="1" applyBorder="1" applyAlignment="1">
      <alignment horizontal="right" vertical="center" wrapText="1"/>
    </xf>
    <xf numFmtId="0" fontId="9" fillId="6" borderId="6" xfId="0" applyFont="1" applyFill="1" applyBorder="1" applyAlignment="1">
      <alignment horizontal="center" vertical="center" wrapText="1"/>
    </xf>
    <xf numFmtId="0" fontId="9" fillId="6" borderId="3" xfId="0" applyFont="1" applyFill="1" applyBorder="1" applyAlignment="1">
      <alignment horizontal="center" vertical="center" wrapText="1"/>
    </xf>
    <xf numFmtId="0" fontId="9" fillId="11"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29" fillId="10" borderId="12" xfId="0" applyFont="1" applyFill="1" applyBorder="1" applyAlignment="1">
      <alignment horizontal="center" vertical="center" wrapText="1"/>
    </xf>
    <xf numFmtId="0" fontId="29" fillId="10" borderId="0" xfId="0" applyFont="1" applyFill="1" applyAlignment="1">
      <alignment horizontal="center" vertical="center" wrapText="1"/>
    </xf>
    <xf numFmtId="0" fontId="30" fillId="6" borderId="12" xfId="0" applyFont="1" applyFill="1" applyBorder="1" applyAlignment="1">
      <alignment horizontal="center" vertical="center" wrapText="1"/>
    </xf>
    <xf numFmtId="0" fontId="10" fillId="12" borderId="6" xfId="0" applyFont="1" applyFill="1" applyBorder="1" applyAlignment="1">
      <alignment horizontal="center" vertical="center" wrapText="1"/>
    </xf>
    <xf numFmtId="0" fontId="10" fillId="12" borderId="9" xfId="0" applyFont="1" applyFill="1" applyBorder="1" applyAlignment="1">
      <alignment horizontal="center" vertical="center" wrapText="1"/>
    </xf>
    <xf numFmtId="0" fontId="10" fillId="12" borderId="14" xfId="0" applyFont="1" applyFill="1" applyBorder="1" applyAlignment="1">
      <alignment horizontal="center" vertical="center" wrapText="1"/>
    </xf>
    <xf numFmtId="0" fontId="10" fillId="12" borderId="2" xfId="0" applyFont="1" applyFill="1" applyBorder="1" applyAlignment="1">
      <alignment horizontal="center" vertical="center" wrapText="1"/>
    </xf>
    <xf numFmtId="0" fontId="10" fillId="12" borderId="10" xfId="0" applyFont="1" applyFill="1" applyBorder="1" applyAlignment="1">
      <alignment horizontal="center" vertical="center" wrapText="1"/>
    </xf>
    <xf numFmtId="0" fontId="10" fillId="12" borderId="11" xfId="0" applyFont="1" applyFill="1" applyBorder="1" applyAlignment="1">
      <alignment horizontal="center" vertical="center" wrapText="1"/>
    </xf>
    <xf numFmtId="176" fontId="28" fillId="10" borderId="28" xfId="1" applyNumberFormat="1" applyFont="1" applyFill="1" applyBorder="1" applyAlignment="1">
      <alignment horizontal="right" vertical="center" wrapText="1"/>
    </xf>
    <xf numFmtId="176" fontId="28" fillId="10" borderId="46" xfId="1" applyNumberFormat="1" applyFont="1" applyFill="1" applyBorder="1" applyAlignment="1">
      <alignment horizontal="right" vertical="center" wrapText="1"/>
    </xf>
    <xf numFmtId="176" fontId="28" fillId="10" borderId="27" xfId="1" applyNumberFormat="1" applyFont="1" applyFill="1" applyBorder="1" applyAlignment="1">
      <alignment horizontal="right" vertical="center" wrapText="1"/>
    </xf>
    <xf numFmtId="176" fontId="28" fillId="10" borderId="7" xfId="1" applyNumberFormat="1" applyFont="1" applyFill="1" applyBorder="1" applyAlignment="1">
      <alignment horizontal="right" vertical="center" wrapText="1"/>
    </xf>
    <xf numFmtId="176" fontId="28" fillId="10" borderId="12" xfId="1" applyNumberFormat="1" applyFont="1" applyFill="1" applyBorder="1" applyAlignment="1">
      <alignment horizontal="right" vertical="center" wrapText="1"/>
    </xf>
    <xf numFmtId="176" fontId="28" fillId="10" borderId="5" xfId="1" applyNumberFormat="1" applyFont="1" applyFill="1" applyBorder="1" applyAlignment="1">
      <alignment horizontal="right" vertical="center" wrapText="1"/>
    </xf>
    <xf numFmtId="182" fontId="29" fillId="10" borderId="31" xfId="0" applyNumberFormat="1" applyFont="1" applyFill="1" applyBorder="1" applyAlignment="1">
      <alignment horizontal="right" vertical="center" wrapText="1"/>
    </xf>
    <xf numFmtId="182" fontId="29" fillId="10" borderId="30" xfId="0" applyNumberFormat="1" applyFont="1" applyFill="1" applyBorder="1" applyAlignment="1">
      <alignment horizontal="right" vertical="center" wrapText="1"/>
    </xf>
    <xf numFmtId="182" fontId="29" fillId="10" borderId="8" xfId="0" applyNumberFormat="1" applyFont="1" applyFill="1" applyBorder="1" applyAlignment="1">
      <alignment horizontal="right" vertical="center" wrapText="1"/>
    </xf>
    <xf numFmtId="182" fontId="29" fillId="10" borderId="4" xfId="0" applyNumberFormat="1" applyFont="1" applyFill="1" applyBorder="1" applyAlignment="1">
      <alignment horizontal="right" vertical="center" wrapText="1"/>
    </xf>
    <xf numFmtId="176" fontId="28" fillId="10" borderId="31" xfId="1" applyNumberFormat="1" applyFont="1" applyFill="1" applyBorder="1" applyAlignment="1">
      <alignment horizontal="right" vertical="center" wrapText="1"/>
    </xf>
    <xf numFmtId="176" fontId="28" fillId="10" borderId="44" xfId="1" applyNumberFormat="1" applyFont="1" applyFill="1" applyBorder="1" applyAlignment="1">
      <alignment horizontal="right" vertical="center" wrapText="1"/>
    </xf>
    <xf numFmtId="176" fontId="28" fillId="10" borderId="30" xfId="1" applyNumberFormat="1" applyFont="1" applyFill="1" applyBorder="1" applyAlignment="1">
      <alignment horizontal="right" vertical="center" wrapText="1"/>
    </xf>
    <xf numFmtId="176" fontId="28" fillId="10" borderId="3" xfId="1" applyNumberFormat="1" applyFont="1" applyFill="1" applyBorder="1" applyAlignment="1">
      <alignment horizontal="right" vertical="center" wrapText="1"/>
    </xf>
    <xf numFmtId="0" fontId="43" fillId="13" borderId="14" xfId="0" applyFont="1" applyFill="1" applyBorder="1" applyAlignment="1">
      <alignment vertical="top" wrapText="1"/>
    </xf>
    <xf numFmtId="0" fontId="43" fillId="13" borderId="2" xfId="0" applyFont="1" applyFill="1" applyBorder="1" applyAlignment="1">
      <alignment vertical="top" wrapText="1"/>
    </xf>
    <xf numFmtId="0" fontId="43" fillId="13" borderId="10" xfId="0" applyFont="1" applyFill="1" applyBorder="1" applyAlignment="1">
      <alignment vertical="top" wrapText="1"/>
    </xf>
    <xf numFmtId="0" fontId="43" fillId="13" borderId="11" xfId="0" applyFont="1" applyFill="1" applyBorder="1" applyAlignment="1">
      <alignment vertical="top" wrapText="1"/>
    </xf>
    <xf numFmtId="0" fontId="43" fillId="13" borderId="8" xfId="0" applyFont="1" applyFill="1" applyBorder="1" applyAlignment="1">
      <alignment vertical="top" wrapText="1"/>
    </xf>
    <xf numFmtId="0" fontId="43" fillId="13" borderId="4" xfId="0" applyFont="1" applyFill="1" applyBorder="1" applyAlignment="1">
      <alignment vertical="top" wrapText="1"/>
    </xf>
    <xf numFmtId="0" fontId="10" fillId="6" borderId="1" xfId="0" applyFont="1" applyFill="1" applyBorder="1" applyAlignment="1">
      <alignment horizontal="center" vertical="center" wrapText="1"/>
    </xf>
    <xf numFmtId="0" fontId="10" fillId="6" borderId="24" xfId="0" applyFont="1" applyFill="1" applyBorder="1" applyAlignment="1">
      <alignment horizontal="center" vertical="center" wrapText="1"/>
    </xf>
    <xf numFmtId="176" fontId="18" fillId="10" borderId="7" xfId="0" applyNumberFormat="1" applyFont="1" applyFill="1" applyBorder="1" applyAlignment="1">
      <alignment horizontal="center" vertical="center"/>
    </xf>
    <xf numFmtId="176" fontId="18" fillId="10" borderId="5" xfId="0" applyNumberFormat="1" applyFont="1" applyFill="1" applyBorder="1" applyAlignment="1">
      <alignment horizontal="center" vertical="center"/>
    </xf>
    <xf numFmtId="0" fontId="30" fillId="6" borderId="1" xfId="0" applyFont="1" applyFill="1" applyBorder="1" applyAlignment="1">
      <alignment horizontal="center" vertical="center" wrapText="1"/>
    </xf>
    <xf numFmtId="0" fontId="30" fillId="6" borderId="24" xfId="0" applyFont="1" applyFill="1" applyBorder="1" applyAlignment="1">
      <alignment horizontal="center" vertical="center" wrapText="1"/>
    </xf>
    <xf numFmtId="0" fontId="18" fillId="10" borderId="7" xfId="0" applyFont="1" applyFill="1" applyBorder="1" applyAlignment="1">
      <alignment horizontal="center" vertical="center"/>
    </xf>
    <xf numFmtId="0" fontId="18" fillId="10" borderId="5" xfId="0" applyFont="1" applyFill="1" applyBorder="1" applyAlignment="1">
      <alignment horizontal="center" vertical="center"/>
    </xf>
  </cellXfs>
  <cellStyles count="4">
    <cellStyle name="パーセント 2" xfId="3" xr:uid="{130FF278-D4D5-404C-AC31-A56C6CEF8BEB}"/>
    <cellStyle name="桁区切り" xfId="1" builtinId="6"/>
    <cellStyle name="標準" xfId="0" builtinId="0"/>
    <cellStyle name="標準 2" xfId="2" xr:uid="{D48CC249-87BA-413F-8056-AC9EC8CDEA99}"/>
  </cellStyles>
  <dxfs count="3">
    <dxf>
      <fill>
        <patternFill>
          <bgColor rgb="FFFCD4DF"/>
        </patternFill>
      </fill>
    </dxf>
    <dxf>
      <fill>
        <patternFill>
          <bgColor rgb="FFFCD4DF"/>
        </patternFill>
      </fill>
    </dxf>
    <dxf>
      <fill>
        <patternFill>
          <bgColor rgb="FFFCD4DF"/>
        </patternFill>
      </fill>
    </dxf>
  </dxfs>
  <tableStyles count="0" defaultTableStyle="TableStyleMedium2" defaultPivotStyle="PivotStyleLight16"/>
  <colors>
    <mruColors>
      <color rgb="FFFCD4DF"/>
      <color rgb="FFFBF6D5"/>
      <color rgb="FFFFEFE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2</xdr:col>
      <xdr:colOff>0</xdr:colOff>
      <xdr:row>27</xdr:row>
      <xdr:rowOff>180975</xdr:rowOff>
    </xdr:from>
    <xdr:to>
      <xdr:col>14</xdr:col>
      <xdr:colOff>905700</xdr:colOff>
      <xdr:row>32</xdr:row>
      <xdr:rowOff>238725</xdr:rowOff>
    </xdr:to>
    <xdr:sp macro="" textlink="">
      <xdr:nvSpPr>
        <xdr:cNvPr id="18" name="テキスト ボックス 17">
          <a:extLst>
            <a:ext uri="{FF2B5EF4-FFF2-40B4-BE49-F238E27FC236}">
              <a16:creationId xmlns:a16="http://schemas.microsoft.com/office/drawing/2014/main" id="{D622C178-3E62-4B36-BE01-72F3BB06C789}"/>
            </a:ext>
          </a:extLst>
        </xdr:cNvPr>
        <xdr:cNvSpPr txBox="1"/>
      </xdr:nvSpPr>
      <xdr:spPr>
        <a:xfrm>
          <a:off x="704850" y="7400925"/>
          <a:ext cx="8640000" cy="1296000"/>
        </a:xfrm>
        <a:prstGeom prst="rect">
          <a:avLst/>
        </a:prstGeom>
        <a:solidFill>
          <a:schemeClr val="bg1">
            <a:lumMod val="95000"/>
          </a:schemeClr>
        </a:solidFill>
        <a:ln w="6350" cmpd="sng">
          <a:solidFill>
            <a:schemeClr val="tx1">
              <a:lumMod val="75000"/>
              <a:lumOff val="25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kumimoji="1" lang="en-US" altLang="ja-JP" sz="900" b="1">
              <a:solidFill>
                <a:schemeClr val="tx1">
                  <a:lumMod val="75000"/>
                  <a:lumOff val="25000"/>
                </a:schemeClr>
              </a:solidFill>
              <a:latin typeface="BIZ UDゴシック" panose="020B0400000000000000" pitchFamily="49" charset="-128"/>
              <a:ea typeface="BIZ UDゴシック" panose="020B0400000000000000" pitchFamily="49" charset="-128"/>
            </a:rPr>
            <a:t>※</a:t>
          </a:r>
          <a:r>
            <a:rPr kumimoji="1" lang="ja-JP" altLang="en-US" sz="900" b="1">
              <a:solidFill>
                <a:schemeClr val="tx1">
                  <a:lumMod val="75000"/>
                  <a:lumOff val="25000"/>
                </a:schemeClr>
              </a:solidFill>
              <a:latin typeface="BIZ UDゴシック" panose="020B0400000000000000" pitchFamily="49" charset="-128"/>
              <a:ea typeface="BIZ UDゴシック" panose="020B0400000000000000" pitchFamily="49" charset="-128"/>
            </a:rPr>
            <a:t>１　ひとり親</a:t>
          </a:r>
          <a:r>
            <a:rPr kumimoji="1" lang="ja-JP" altLang="en-US" sz="900" b="0">
              <a:solidFill>
                <a:schemeClr val="tx1">
                  <a:lumMod val="75000"/>
                  <a:lumOff val="25000"/>
                </a:schemeClr>
              </a:solidFill>
              <a:latin typeface="BIZ UDゴシック" panose="020B0400000000000000" pitchFamily="49" charset="-128"/>
              <a:ea typeface="BIZ UDゴシック" panose="020B0400000000000000" pitchFamily="49" charset="-128"/>
            </a:rPr>
            <a:t>：次のア～エの</a:t>
          </a:r>
          <a:r>
            <a:rPr kumimoji="1" lang="ja-JP" altLang="en-US" sz="900" b="0">
              <a:solidFill>
                <a:srgbClr val="FF0000"/>
              </a:solidFill>
              <a:latin typeface="BIZ UDゴシック" panose="020B0400000000000000" pitchFamily="49" charset="-128"/>
              <a:ea typeface="BIZ UDゴシック" panose="020B0400000000000000" pitchFamily="49" charset="-128"/>
            </a:rPr>
            <a:t>すべて</a:t>
          </a:r>
          <a:r>
            <a:rPr kumimoji="1" lang="ja-JP" altLang="en-US" sz="900" b="0">
              <a:solidFill>
                <a:schemeClr val="tx1">
                  <a:lumMod val="75000"/>
                  <a:lumOff val="25000"/>
                </a:schemeClr>
              </a:solidFill>
              <a:latin typeface="BIZ UDゴシック" panose="020B0400000000000000" pitchFamily="49" charset="-128"/>
              <a:ea typeface="BIZ UDゴシック" panose="020B0400000000000000" pitchFamily="49" charset="-128"/>
            </a:rPr>
            <a:t>に該当する方</a:t>
          </a:r>
        </a:p>
        <a:p>
          <a:r>
            <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rPr>
            <a:t>　　　　　ア 現に婚姻をしていないまたは配偶者の生死が不明</a:t>
          </a:r>
        </a:p>
        <a:p>
          <a:r>
            <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rPr>
            <a:t>　　　　　イ 事実上婚姻関係と同様の事情にあると認められる人がいない</a:t>
          </a:r>
        </a:p>
        <a:p>
          <a:r>
            <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rPr>
            <a:t>　　　　　ウ 年間の所得額が</a:t>
          </a:r>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48</a:t>
          </a:r>
          <a:r>
            <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rPr>
            <a:t>万円以下の子がいる（他の人の扶養親族等となる場合は当てはまりません）</a:t>
          </a:r>
        </a:p>
        <a:p>
          <a:r>
            <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rPr>
            <a:t>　　　　　エ 年間の所得額が</a:t>
          </a:r>
          <a:r>
            <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rPr>
            <a:t>500</a:t>
          </a:r>
          <a:r>
            <a:rPr kumimoji="1" lang="ja-JP" altLang="en-US" sz="800">
              <a:solidFill>
                <a:schemeClr val="tx1">
                  <a:lumMod val="75000"/>
                  <a:lumOff val="25000"/>
                </a:schemeClr>
              </a:solidFill>
              <a:latin typeface="BIZ UDゴシック" panose="020B0400000000000000" pitchFamily="49" charset="-128"/>
              <a:ea typeface="BIZ UDゴシック" panose="020B0400000000000000" pitchFamily="49" charset="-128"/>
            </a:rPr>
            <a:t>万円以下である</a:t>
          </a:r>
          <a:endPar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endParaRPr>
        </a:p>
        <a:p>
          <a:endParaRPr kumimoji="1" lang="en-US" altLang="ja-JP" sz="800">
            <a:solidFill>
              <a:schemeClr val="tx1">
                <a:lumMod val="75000"/>
                <a:lumOff val="25000"/>
              </a:schemeClr>
            </a:solidFill>
            <a:latin typeface="BIZ UDゴシック" panose="020B0400000000000000" pitchFamily="49" charset="-128"/>
            <a:ea typeface="BIZ UDゴシック" panose="020B0400000000000000" pitchFamily="49" charset="-128"/>
          </a:endParaRPr>
        </a:p>
        <a:p>
          <a:r>
            <a:rPr kumimoji="1" lang="ja-JP" altLang="en-US" sz="900" b="1">
              <a:solidFill>
                <a:schemeClr val="tx1">
                  <a:lumMod val="75000"/>
                  <a:lumOff val="25000"/>
                </a:schemeClr>
              </a:solidFill>
              <a:effectLst/>
              <a:latin typeface="BIZ UDゴシック" panose="020B0400000000000000" pitchFamily="49" charset="-128"/>
              <a:ea typeface="BIZ UDゴシック" panose="020B0400000000000000" pitchFamily="49" charset="-128"/>
              <a:cs typeface="+mn-cs"/>
            </a:rPr>
            <a:t>　　　</a:t>
          </a:r>
          <a:r>
            <a:rPr kumimoji="1" lang="ja-JP" altLang="ja-JP" sz="900" b="1">
              <a:solidFill>
                <a:schemeClr val="tx1">
                  <a:lumMod val="75000"/>
                  <a:lumOff val="25000"/>
                </a:schemeClr>
              </a:solidFill>
              <a:effectLst/>
              <a:latin typeface="BIZ UDゴシック" panose="020B0400000000000000" pitchFamily="49" charset="-128"/>
              <a:ea typeface="BIZ UDゴシック" panose="020B0400000000000000" pitchFamily="49" charset="-128"/>
              <a:cs typeface="+mn-cs"/>
            </a:rPr>
            <a:t>寡婦</a:t>
          </a:r>
          <a:r>
            <a:rPr kumimoji="1" lang="ja-JP" altLang="ja-JP" sz="900" b="0">
              <a:solidFill>
                <a:schemeClr val="tx1">
                  <a:lumMod val="75000"/>
                  <a:lumOff val="25000"/>
                </a:schemeClr>
              </a:solidFill>
              <a:effectLst/>
              <a:latin typeface="BIZ UDゴシック" panose="020B0400000000000000" pitchFamily="49" charset="-128"/>
              <a:ea typeface="BIZ UDゴシック" panose="020B0400000000000000" pitchFamily="49" charset="-128"/>
              <a:cs typeface="+mn-cs"/>
            </a:rPr>
            <a:t>：ひとり親ではなく、次のア～ウの</a:t>
          </a:r>
          <a:r>
            <a:rPr kumimoji="1" lang="ja-JP" altLang="ja-JP" sz="900" b="1">
              <a:solidFill>
                <a:srgbClr val="0070C0"/>
              </a:solidFill>
              <a:effectLst/>
              <a:latin typeface="BIZ UDゴシック" panose="020B0400000000000000" pitchFamily="49" charset="-128"/>
              <a:ea typeface="BIZ UDゴシック" panose="020B0400000000000000" pitchFamily="49" charset="-128"/>
              <a:cs typeface="+mn-cs"/>
            </a:rPr>
            <a:t>いずれか</a:t>
          </a:r>
          <a:r>
            <a:rPr kumimoji="1" lang="ja-JP" altLang="ja-JP" sz="900" b="1">
              <a:solidFill>
                <a:schemeClr val="tx1">
                  <a:lumMod val="75000"/>
                  <a:lumOff val="25000"/>
                </a:schemeClr>
              </a:solidFill>
              <a:effectLst/>
              <a:latin typeface="BIZ UDゴシック" panose="020B0400000000000000" pitchFamily="49" charset="-128"/>
              <a:ea typeface="BIZ UDゴシック" panose="020B0400000000000000" pitchFamily="49" charset="-128"/>
              <a:cs typeface="+mn-cs"/>
            </a:rPr>
            <a:t>に</a:t>
          </a:r>
          <a:r>
            <a:rPr kumimoji="1" lang="ja-JP" altLang="ja-JP" sz="900" b="0">
              <a:solidFill>
                <a:schemeClr val="tx1">
                  <a:lumMod val="75000"/>
                  <a:lumOff val="25000"/>
                </a:schemeClr>
              </a:solidFill>
              <a:effectLst/>
              <a:latin typeface="BIZ UDゴシック" panose="020B0400000000000000" pitchFamily="49" charset="-128"/>
              <a:ea typeface="BIZ UDゴシック" panose="020B0400000000000000" pitchFamily="49" charset="-128"/>
              <a:cs typeface="+mn-cs"/>
            </a:rPr>
            <a:t>該当する方</a:t>
          </a:r>
          <a:endParaRPr lang="ja-JP" altLang="ja-JP" sz="900">
            <a:solidFill>
              <a:schemeClr val="tx1">
                <a:lumMod val="75000"/>
                <a:lumOff val="25000"/>
              </a:schemeClr>
            </a:solidFill>
            <a:effectLst/>
            <a:latin typeface="BIZ UDゴシック" panose="020B0400000000000000" pitchFamily="49" charset="-128"/>
            <a:ea typeface="BIZ UDゴシック" panose="020B0400000000000000" pitchFamily="49" charset="-128"/>
          </a:endParaRPr>
        </a:p>
        <a:p>
          <a:r>
            <a:rPr kumimoji="1" lang="ja-JP" altLang="ja-JP" sz="800">
              <a:solidFill>
                <a:schemeClr val="tx1">
                  <a:lumMod val="75000"/>
                  <a:lumOff val="25000"/>
                </a:schemeClr>
              </a:solidFill>
              <a:effectLst/>
              <a:latin typeface="BIZ UDゴシック" panose="020B0400000000000000" pitchFamily="49" charset="-128"/>
              <a:ea typeface="BIZ UDゴシック" panose="020B0400000000000000" pitchFamily="49" charset="-128"/>
              <a:cs typeface="+mn-cs"/>
            </a:rPr>
            <a:t>　</a:t>
          </a:r>
          <a:r>
            <a:rPr kumimoji="1" lang="ja-JP" altLang="en-US" sz="800">
              <a:solidFill>
                <a:schemeClr val="tx1">
                  <a:lumMod val="75000"/>
                  <a:lumOff val="25000"/>
                </a:schemeClr>
              </a:solidFill>
              <a:effectLst/>
              <a:latin typeface="BIZ UDゴシック" panose="020B0400000000000000" pitchFamily="49" charset="-128"/>
              <a:ea typeface="BIZ UDゴシック" panose="020B0400000000000000" pitchFamily="49" charset="-128"/>
              <a:cs typeface="+mn-cs"/>
            </a:rPr>
            <a:t>　　　　</a:t>
          </a:r>
          <a:r>
            <a:rPr kumimoji="1" lang="ja-JP" altLang="ja-JP" sz="800">
              <a:solidFill>
                <a:schemeClr val="tx1">
                  <a:lumMod val="75000"/>
                  <a:lumOff val="25000"/>
                </a:schemeClr>
              </a:solidFill>
              <a:effectLst/>
              <a:latin typeface="BIZ UDゴシック" panose="020B0400000000000000" pitchFamily="49" charset="-128"/>
              <a:ea typeface="BIZ UDゴシック" panose="020B0400000000000000" pitchFamily="49" charset="-128"/>
              <a:cs typeface="+mn-cs"/>
            </a:rPr>
            <a:t>ア 夫と離婚してから婚姻しておらず、扶養親族を有し、年間の所得の見積額が</a:t>
          </a:r>
          <a:r>
            <a:rPr kumimoji="1" lang="en-US" altLang="ja-JP" sz="800">
              <a:solidFill>
                <a:schemeClr val="tx1">
                  <a:lumMod val="75000"/>
                  <a:lumOff val="25000"/>
                </a:schemeClr>
              </a:solidFill>
              <a:effectLst/>
              <a:latin typeface="BIZ UDゴシック" panose="020B0400000000000000" pitchFamily="49" charset="-128"/>
              <a:ea typeface="BIZ UDゴシック" panose="020B0400000000000000" pitchFamily="49" charset="-128"/>
              <a:cs typeface="+mn-cs"/>
            </a:rPr>
            <a:t>500</a:t>
          </a:r>
          <a:r>
            <a:rPr kumimoji="1" lang="ja-JP" altLang="ja-JP" sz="800">
              <a:solidFill>
                <a:schemeClr val="tx1">
                  <a:lumMod val="75000"/>
                  <a:lumOff val="25000"/>
                </a:schemeClr>
              </a:solidFill>
              <a:effectLst/>
              <a:latin typeface="BIZ UDゴシック" panose="020B0400000000000000" pitchFamily="49" charset="-128"/>
              <a:ea typeface="BIZ UDゴシック" panose="020B0400000000000000" pitchFamily="49" charset="-128"/>
              <a:cs typeface="+mn-cs"/>
            </a:rPr>
            <a:t>万円以下であり、事実上婚姻関係と同様の事情にあると認められる人がいない</a:t>
          </a:r>
          <a:endParaRPr lang="ja-JP" altLang="ja-JP" sz="800">
            <a:solidFill>
              <a:schemeClr val="tx1">
                <a:lumMod val="75000"/>
                <a:lumOff val="25000"/>
              </a:schemeClr>
            </a:solidFill>
            <a:effectLst/>
            <a:latin typeface="BIZ UDゴシック" panose="020B0400000000000000" pitchFamily="49" charset="-128"/>
            <a:ea typeface="BIZ UDゴシック" panose="020B0400000000000000" pitchFamily="49" charset="-128"/>
          </a:endParaRPr>
        </a:p>
        <a:p>
          <a:r>
            <a:rPr kumimoji="1" lang="ja-JP" altLang="ja-JP" sz="800">
              <a:solidFill>
                <a:schemeClr val="tx1">
                  <a:lumMod val="75000"/>
                  <a:lumOff val="25000"/>
                </a:schemeClr>
              </a:solidFill>
              <a:effectLst/>
              <a:latin typeface="BIZ UDゴシック" panose="020B0400000000000000" pitchFamily="49" charset="-128"/>
              <a:ea typeface="BIZ UDゴシック" panose="020B0400000000000000" pitchFamily="49" charset="-128"/>
              <a:cs typeface="+mn-cs"/>
            </a:rPr>
            <a:t>　</a:t>
          </a:r>
          <a:r>
            <a:rPr kumimoji="1" lang="ja-JP" altLang="en-US" sz="800">
              <a:solidFill>
                <a:schemeClr val="tx1">
                  <a:lumMod val="75000"/>
                  <a:lumOff val="25000"/>
                </a:schemeClr>
              </a:solidFill>
              <a:effectLst/>
              <a:latin typeface="BIZ UDゴシック" panose="020B0400000000000000" pitchFamily="49" charset="-128"/>
              <a:ea typeface="BIZ UDゴシック" panose="020B0400000000000000" pitchFamily="49" charset="-128"/>
              <a:cs typeface="+mn-cs"/>
            </a:rPr>
            <a:t>　　　　</a:t>
          </a:r>
          <a:r>
            <a:rPr kumimoji="1" lang="ja-JP" altLang="ja-JP" sz="800">
              <a:solidFill>
                <a:schemeClr val="tx1">
                  <a:lumMod val="75000"/>
                  <a:lumOff val="25000"/>
                </a:schemeClr>
              </a:solidFill>
              <a:effectLst/>
              <a:latin typeface="BIZ UDゴシック" panose="020B0400000000000000" pitchFamily="49" charset="-128"/>
              <a:ea typeface="BIZ UDゴシック" panose="020B0400000000000000" pitchFamily="49" charset="-128"/>
              <a:cs typeface="+mn-cs"/>
            </a:rPr>
            <a:t>イ 夫と死別してから婚姻していない、または夫の生死が不明で、年間の所得の見積額が</a:t>
          </a:r>
          <a:r>
            <a:rPr kumimoji="1" lang="en-US" altLang="ja-JP" sz="800">
              <a:solidFill>
                <a:schemeClr val="tx1">
                  <a:lumMod val="75000"/>
                  <a:lumOff val="25000"/>
                </a:schemeClr>
              </a:solidFill>
              <a:effectLst/>
              <a:latin typeface="BIZ UDゴシック" panose="020B0400000000000000" pitchFamily="49" charset="-128"/>
              <a:ea typeface="BIZ UDゴシック" panose="020B0400000000000000" pitchFamily="49" charset="-128"/>
              <a:cs typeface="+mn-cs"/>
            </a:rPr>
            <a:t>500</a:t>
          </a:r>
          <a:r>
            <a:rPr kumimoji="1" lang="ja-JP" altLang="ja-JP" sz="800">
              <a:solidFill>
                <a:schemeClr val="tx1">
                  <a:lumMod val="75000"/>
                  <a:lumOff val="25000"/>
                </a:schemeClr>
              </a:solidFill>
              <a:effectLst/>
              <a:latin typeface="BIZ UDゴシック" panose="020B0400000000000000" pitchFamily="49" charset="-128"/>
              <a:ea typeface="BIZ UDゴシック" panose="020B0400000000000000" pitchFamily="49" charset="-128"/>
              <a:cs typeface="+mn-cs"/>
            </a:rPr>
            <a:t>万円以下であり、事実上婚姻関係と同様の事情にあると認められる人がいない</a:t>
          </a:r>
          <a:endParaRPr lang="ja-JP" altLang="ja-JP" sz="800">
            <a:solidFill>
              <a:schemeClr val="tx1">
                <a:lumMod val="75000"/>
                <a:lumOff val="25000"/>
              </a:schemeClr>
            </a:solidFill>
            <a:effectLst/>
            <a:latin typeface="BIZ UDゴシック" panose="020B0400000000000000" pitchFamily="49" charset="-128"/>
            <a:ea typeface="BIZ UDゴシック" panose="020B0400000000000000" pitchFamily="49" charset="-128"/>
          </a:endParaRPr>
        </a:p>
        <a:p>
          <a:endParaRPr kumimoji="1" lang="ja-JP" altLang="en-US" sz="800">
            <a:latin typeface="BIZ UDゴシック" panose="020B0400000000000000" pitchFamily="49" charset="-128"/>
            <a:ea typeface="BIZ UDゴシック" panose="020B0400000000000000" pitchFamily="49" charset="-128"/>
          </a:endParaRPr>
        </a:p>
      </xdr:txBody>
    </xdr:sp>
    <xdr:clientData/>
  </xdr:twoCellAnchor>
  <xdr:twoCellAnchor editAs="absolute">
    <xdr:from>
      <xdr:col>2</xdr:col>
      <xdr:colOff>0</xdr:colOff>
      <xdr:row>59</xdr:row>
      <xdr:rowOff>19050</xdr:rowOff>
    </xdr:from>
    <xdr:to>
      <xdr:col>14</xdr:col>
      <xdr:colOff>905700</xdr:colOff>
      <xdr:row>59</xdr:row>
      <xdr:rowOff>451050</xdr:rowOff>
    </xdr:to>
    <xdr:sp macro="" textlink="">
      <xdr:nvSpPr>
        <xdr:cNvPr id="31" name="テキスト ボックス 30">
          <a:extLst>
            <a:ext uri="{FF2B5EF4-FFF2-40B4-BE49-F238E27FC236}">
              <a16:creationId xmlns:a16="http://schemas.microsoft.com/office/drawing/2014/main" id="{E7565A40-5D9A-4DE2-A889-F86369C95602}"/>
            </a:ext>
          </a:extLst>
        </xdr:cNvPr>
        <xdr:cNvSpPr txBox="1"/>
      </xdr:nvSpPr>
      <xdr:spPr>
        <a:xfrm>
          <a:off x="704850" y="16506825"/>
          <a:ext cx="8640000" cy="432000"/>
        </a:xfrm>
        <a:prstGeom prst="rect">
          <a:avLst/>
        </a:prstGeom>
        <a:solidFill>
          <a:schemeClr val="bg1">
            <a:lumMod val="95000"/>
          </a:schemeClr>
        </a:solidFill>
        <a:ln w="6350" cmpd="sng">
          <a:solidFill>
            <a:schemeClr val="tx1">
              <a:lumMod val="75000"/>
              <a:lumOff val="25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kumimoji="1" lang="en-US" altLang="ja-JP" sz="900" b="1">
              <a:solidFill>
                <a:schemeClr val="tx1">
                  <a:lumMod val="75000"/>
                  <a:lumOff val="25000"/>
                </a:schemeClr>
              </a:solidFill>
              <a:latin typeface="BIZ UDゴシック" panose="020B0400000000000000" pitchFamily="49" charset="-128"/>
              <a:ea typeface="BIZ UDゴシック" panose="020B0400000000000000" pitchFamily="49" charset="-128"/>
            </a:rPr>
            <a:t>※</a:t>
          </a:r>
          <a:r>
            <a:rPr kumimoji="1" lang="ja-JP" altLang="en-US" sz="900" b="1">
              <a:solidFill>
                <a:schemeClr val="tx1">
                  <a:lumMod val="75000"/>
                  <a:lumOff val="25000"/>
                </a:schemeClr>
              </a:solidFill>
              <a:latin typeface="BIZ UDゴシック" panose="020B0400000000000000" pitchFamily="49" charset="-128"/>
              <a:ea typeface="BIZ UDゴシック" panose="020B0400000000000000" pitchFamily="49" charset="-128"/>
            </a:rPr>
            <a:t>２　障がい者</a:t>
          </a:r>
          <a:r>
            <a:rPr kumimoji="1" lang="ja-JP" altLang="en-US" sz="900" b="0">
              <a:solidFill>
                <a:schemeClr val="tx1">
                  <a:lumMod val="75000"/>
                  <a:lumOff val="25000"/>
                </a:schemeClr>
              </a:solidFill>
              <a:latin typeface="BIZ UDゴシック" panose="020B0400000000000000" pitchFamily="49" charset="-128"/>
              <a:ea typeface="BIZ UDゴシック" panose="020B0400000000000000" pitchFamily="49" charset="-128"/>
            </a:rPr>
            <a:t>：障がい者手帳または療育手帳等を交付されている方、その他所得税法施行令第</a:t>
          </a:r>
          <a:r>
            <a:rPr kumimoji="1" lang="en-US" altLang="ja-JP" sz="900" b="0">
              <a:solidFill>
                <a:schemeClr val="tx1">
                  <a:lumMod val="75000"/>
                  <a:lumOff val="25000"/>
                </a:schemeClr>
              </a:solidFill>
              <a:latin typeface="BIZ UDゴシック" panose="020B0400000000000000" pitchFamily="49" charset="-128"/>
              <a:ea typeface="BIZ UDゴシック" panose="020B0400000000000000" pitchFamily="49" charset="-128"/>
            </a:rPr>
            <a:t>10</a:t>
          </a:r>
          <a:r>
            <a:rPr kumimoji="1" lang="ja-JP" altLang="en-US" sz="900" b="0">
              <a:solidFill>
                <a:schemeClr val="tx1">
                  <a:lumMod val="75000"/>
                  <a:lumOff val="25000"/>
                </a:schemeClr>
              </a:solidFill>
              <a:latin typeface="BIZ UDゴシック" panose="020B0400000000000000" pitchFamily="49" charset="-128"/>
              <a:ea typeface="BIZ UDゴシック" panose="020B0400000000000000" pitchFamily="49" charset="-128"/>
            </a:rPr>
            <a:t>条第</a:t>
          </a:r>
          <a:r>
            <a:rPr kumimoji="1" lang="en-US" altLang="ja-JP" sz="900" b="0">
              <a:solidFill>
                <a:schemeClr val="tx1">
                  <a:lumMod val="75000"/>
                  <a:lumOff val="25000"/>
                </a:schemeClr>
              </a:solidFill>
              <a:latin typeface="BIZ UDゴシック" panose="020B0400000000000000" pitchFamily="49" charset="-128"/>
              <a:ea typeface="BIZ UDゴシック" panose="020B0400000000000000" pitchFamily="49" charset="-128"/>
            </a:rPr>
            <a:t>1</a:t>
          </a:r>
          <a:r>
            <a:rPr kumimoji="1" lang="ja-JP" altLang="en-US" sz="900" b="0">
              <a:solidFill>
                <a:schemeClr val="tx1">
                  <a:lumMod val="75000"/>
                  <a:lumOff val="25000"/>
                </a:schemeClr>
              </a:solidFill>
              <a:latin typeface="BIZ UDゴシック" panose="020B0400000000000000" pitchFamily="49" charset="-128"/>
              <a:ea typeface="BIZ UDゴシック" panose="020B0400000000000000" pitchFamily="49" charset="-128"/>
            </a:rPr>
            <a:t>項に該当する方（特別障がい者に該当する方を除く）</a:t>
          </a:r>
          <a:endParaRPr kumimoji="1" lang="en-US" altLang="ja-JP" sz="900" b="0">
            <a:solidFill>
              <a:schemeClr val="tx1">
                <a:lumMod val="75000"/>
                <a:lumOff val="25000"/>
              </a:schemeClr>
            </a:solidFill>
            <a:latin typeface="BIZ UDゴシック" panose="020B0400000000000000" pitchFamily="49" charset="-128"/>
            <a:ea typeface="BIZ UDゴシック" panose="020B0400000000000000" pitchFamily="49" charset="-128"/>
          </a:endParaRPr>
        </a:p>
        <a:p>
          <a:r>
            <a:rPr kumimoji="1" lang="ja-JP" altLang="en-US" sz="900" b="1">
              <a:solidFill>
                <a:schemeClr val="tx1">
                  <a:lumMod val="75000"/>
                  <a:lumOff val="25000"/>
                </a:schemeClr>
              </a:solidFill>
              <a:effectLst/>
              <a:latin typeface="BIZ UDゴシック" panose="020B0400000000000000" pitchFamily="49" charset="-128"/>
              <a:ea typeface="BIZ UDゴシック" panose="020B0400000000000000" pitchFamily="49" charset="-128"/>
              <a:cs typeface="+mn-cs"/>
            </a:rPr>
            <a:t>　　　特別</a:t>
          </a:r>
          <a:r>
            <a:rPr kumimoji="1" lang="ja-JP" altLang="ja-JP" sz="900" b="1">
              <a:solidFill>
                <a:schemeClr val="tx1">
                  <a:lumMod val="75000"/>
                  <a:lumOff val="25000"/>
                </a:schemeClr>
              </a:solidFill>
              <a:effectLst/>
              <a:latin typeface="BIZ UDゴシック" panose="020B0400000000000000" pitchFamily="49" charset="-128"/>
              <a:ea typeface="BIZ UDゴシック" panose="020B0400000000000000" pitchFamily="49" charset="-128"/>
              <a:cs typeface="+mn-cs"/>
            </a:rPr>
            <a:t>障がい者</a:t>
          </a:r>
          <a:r>
            <a:rPr kumimoji="1" lang="ja-JP" altLang="ja-JP" sz="900" b="0">
              <a:solidFill>
                <a:schemeClr val="tx1">
                  <a:lumMod val="75000"/>
                  <a:lumOff val="25000"/>
                </a:schemeClr>
              </a:solidFill>
              <a:effectLst/>
              <a:latin typeface="BIZ UDゴシック" panose="020B0400000000000000" pitchFamily="49" charset="-128"/>
              <a:ea typeface="BIZ UDゴシック" panose="020B0400000000000000" pitchFamily="49" charset="-128"/>
              <a:cs typeface="+mn-cs"/>
            </a:rPr>
            <a:t>：</a:t>
          </a:r>
          <a:r>
            <a:rPr kumimoji="1" lang="en-US" altLang="ja-JP" sz="900">
              <a:solidFill>
                <a:schemeClr val="tx1">
                  <a:lumMod val="75000"/>
                  <a:lumOff val="25000"/>
                </a:schemeClr>
              </a:solidFill>
              <a:latin typeface="BIZ UDゴシック" panose="020B0400000000000000" pitchFamily="49" charset="-128"/>
              <a:ea typeface="BIZ UDゴシック" panose="020B0400000000000000" pitchFamily="49" charset="-128"/>
            </a:rPr>
            <a:t>1</a:t>
          </a:r>
          <a:r>
            <a:rPr kumimoji="1" lang="ja-JP" altLang="en-US" sz="900">
              <a:solidFill>
                <a:schemeClr val="tx1">
                  <a:lumMod val="75000"/>
                  <a:lumOff val="25000"/>
                </a:schemeClr>
              </a:solidFill>
              <a:latin typeface="BIZ UDゴシック" panose="020B0400000000000000" pitchFamily="49" charset="-128"/>
              <a:ea typeface="BIZ UDゴシック" panose="020B0400000000000000" pitchFamily="49" charset="-128"/>
            </a:rPr>
            <a:t>級または</a:t>
          </a:r>
          <a:r>
            <a:rPr kumimoji="1" lang="en-US" altLang="ja-JP" sz="900">
              <a:solidFill>
                <a:schemeClr val="tx1">
                  <a:lumMod val="75000"/>
                  <a:lumOff val="25000"/>
                </a:schemeClr>
              </a:solidFill>
              <a:latin typeface="BIZ UDゴシック" panose="020B0400000000000000" pitchFamily="49" charset="-128"/>
              <a:ea typeface="BIZ UDゴシック" panose="020B0400000000000000" pitchFamily="49" charset="-128"/>
            </a:rPr>
            <a:t>2</a:t>
          </a:r>
          <a:r>
            <a:rPr kumimoji="1" lang="ja-JP" altLang="en-US" sz="900">
              <a:solidFill>
                <a:schemeClr val="tx1">
                  <a:lumMod val="75000"/>
                  <a:lumOff val="25000"/>
                </a:schemeClr>
              </a:solidFill>
              <a:latin typeface="BIZ UDゴシック" panose="020B0400000000000000" pitchFamily="49" charset="-128"/>
              <a:ea typeface="BIZ UDゴシック" panose="020B0400000000000000" pitchFamily="49" charset="-128"/>
            </a:rPr>
            <a:t>級の障がい者手帳、</a:t>
          </a:r>
          <a:r>
            <a:rPr kumimoji="1" lang="en-US" altLang="ja-JP" sz="900">
              <a:solidFill>
                <a:schemeClr val="tx1">
                  <a:lumMod val="75000"/>
                  <a:lumOff val="25000"/>
                </a:schemeClr>
              </a:solidFill>
              <a:latin typeface="BIZ UDゴシック" panose="020B0400000000000000" pitchFamily="49" charset="-128"/>
              <a:ea typeface="BIZ UDゴシック" panose="020B0400000000000000" pitchFamily="49" charset="-128"/>
            </a:rPr>
            <a:t>A</a:t>
          </a:r>
          <a:r>
            <a:rPr kumimoji="1" lang="ja-JP" altLang="en-US" sz="900">
              <a:solidFill>
                <a:schemeClr val="tx1">
                  <a:lumMod val="75000"/>
                  <a:lumOff val="25000"/>
                </a:schemeClr>
              </a:solidFill>
              <a:latin typeface="BIZ UDゴシック" panose="020B0400000000000000" pitchFamily="49" charset="-128"/>
              <a:ea typeface="BIZ UDゴシック" panose="020B0400000000000000" pitchFamily="49" charset="-128"/>
            </a:rPr>
            <a:t>判定の療育手帳または</a:t>
          </a:r>
          <a:r>
            <a:rPr kumimoji="1" lang="en-US" altLang="ja-JP" sz="900">
              <a:solidFill>
                <a:schemeClr val="tx1">
                  <a:lumMod val="75000"/>
                  <a:lumOff val="25000"/>
                </a:schemeClr>
              </a:solidFill>
              <a:latin typeface="BIZ UDゴシック" panose="020B0400000000000000" pitchFamily="49" charset="-128"/>
              <a:ea typeface="BIZ UDゴシック" panose="020B0400000000000000" pitchFamily="49" charset="-128"/>
            </a:rPr>
            <a:t>1</a:t>
          </a:r>
          <a:r>
            <a:rPr kumimoji="1" lang="ja-JP" altLang="en-US" sz="900">
              <a:solidFill>
                <a:schemeClr val="tx1">
                  <a:lumMod val="75000"/>
                  <a:lumOff val="25000"/>
                </a:schemeClr>
              </a:solidFill>
              <a:latin typeface="BIZ UDゴシック" panose="020B0400000000000000" pitchFamily="49" charset="-128"/>
              <a:ea typeface="BIZ UDゴシック" panose="020B0400000000000000" pitchFamily="49" charset="-128"/>
            </a:rPr>
            <a:t>級の精神障害者保健福祉手帳などを交付されている方</a:t>
          </a:r>
          <a:endParaRPr kumimoji="1" lang="ja-JP" altLang="en-US" sz="900" b="1">
            <a:solidFill>
              <a:schemeClr val="tx1">
                <a:lumMod val="75000"/>
                <a:lumOff val="25000"/>
              </a:schemeClr>
            </a:solidFill>
            <a:latin typeface="BIZ UDゴシック" panose="020B0400000000000000" pitchFamily="49" charset="-128"/>
            <a:ea typeface="BIZ UDゴシック" panose="020B0400000000000000"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5A161-3791-4CFC-A13E-6EA9B5F03935}">
  <dimension ref="A1:AZ104"/>
  <sheetViews>
    <sheetView tabSelected="1" zoomScaleNormal="100" workbookViewId="0">
      <selection activeCell="L67" sqref="L67"/>
    </sheetView>
  </sheetViews>
  <sheetFormatPr defaultColWidth="9" defaultRowHeight="20.149999999999999" customHeight="1"/>
  <cols>
    <col min="1" max="2" width="4.58203125" style="210" customWidth="1"/>
    <col min="3" max="3" width="12.58203125" style="210" customWidth="1"/>
    <col min="4" max="4" width="2.58203125" style="210" customWidth="1"/>
    <col min="5" max="5" width="6.58203125" style="210" customWidth="1"/>
    <col min="6" max="6" width="4.58203125" style="210" customWidth="1"/>
    <col min="7" max="7" width="2.58203125" style="210" customWidth="1"/>
    <col min="8" max="9" width="12.58203125" style="210" customWidth="1"/>
    <col min="10" max="10" width="2.58203125" style="210" customWidth="1"/>
    <col min="11" max="12" width="12.58203125" style="210" customWidth="1"/>
    <col min="13" max="13" width="16.58203125" style="210" customWidth="1"/>
    <col min="14" max="14" width="2.58203125" style="210" customWidth="1"/>
    <col min="15" max="15" width="12.58203125" style="210" customWidth="1"/>
    <col min="16" max="16" width="4.58203125" style="210" customWidth="1"/>
    <col min="17" max="17" width="12.58203125" style="210" customWidth="1"/>
    <col min="18" max="18" width="4.58203125" style="210" customWidth="1"/>
    <col min="19" max="19" width="12.58203125" style="210" customWidth="1"/>
    <col min="20" max="21" width="4.58203125" style="210" customWidth="1"/>
    <col min="22" max="22" width="9" style="210"/>
    <col min="23" max="23" width="9" style="210" hidden="1" customWidth="1"/>
    <col min="24" max="24" width="4.58203125" style="210" hidden="1" customWidth="1"/>
    <col min="25" max="25" width="2.58203125" style="210" hidden="1" customWidth="1"/>
    <col min="26" max="28" width="16.58203125" style="210" hidden="1" customWidth="1"/>
    <col min="29" max="29" width="2.58203125" style="210" hidden="1" customWidth="1"/>
    <col min="30" max="31" width="10.58203125" style="210" hidden="1" customWidth="1"/>
    <col min="32" max="32" width="2.58203125" style="210" hidden="1" customWidth="1"/>
    <col min="33" max="43" width="10.58203125" style="210" hidden="1" customWidth="1"/>
    <col min="44" max="52" width="9" style="210" hidden="1" customWidth="1"/>
    <col min="53" max="16384" width="9" style="210"/>
  </cols>
  <sheetData>
    <row r="1" spans="1:52" ht="20.149999999999999" customHeight="1" thickBot="1">
      <c r="A1" s="36"/>
      <c r="B1" s="222"/>
      <c r="C1" s="222"/>
      <c r="D1" s="222"/>
      <c r="E1" s="222"/>
      <c r="F1" s="222"/>
      <c r="G1" s="222"/>
      <c r="H1" s="222"/>
      <c r="I1" s="222"/>
      <c r="J1" s="222"/>
      <c r="K1" s="222"/>
      <c r="L1" s="222"/>
      <c r="M1" s="222"/>
      <c r="N1" s="222"/>
      <c r="O1" s="222"/>
      <c r="P1" s="222"/>
      <c r="Q1" s="222"/>
      <c r="R1" s="222"/>
      <c r="S1" s="222"/>
      <c r="T1" s="222"/>
      <c r="U1" s="222"/>
      <c r="V1" s="3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row>
    <row r="2" spans="1:52" ht="48.75" customHeight="1" thickBot="1">
      <c r="A2" s="36"/>
      <c r="B2" s="221" t="s">
        <v>534</v>
      </c>
      <c r="C2" s="222"/>
      <c r="D2" s="222"/>
      <c r="E2" s="222"/>
      <c r="F2" s="222"/>
      <c r="G2" s="222"/>
      <c r="H2" s="222"/>
      <c r="I2" s="222"/>
      <c r="J2" s="222"/>
      <c r="K2" s="222"/>
      <c r="L2" s="222"/>
      <c r="M2" s="222"/>
      <c r="N2" s="222"/>
      <c r="O2" s="222"/>
      <c r="P2" s="222"/>
      <c r="Q2" s="222"/>
      <c r="R2" s="222"/>
      <c r="S2" s="222"/>
      <c r="T2" s="222"/>
      <c r="U2" s="222"/>
      <c r="V2" s="36"/>
      <c r="W2" s="46"/>
      <c r="X2" s="55" t="s">
        <v>464</v>
      </c>
      <c r="Y2" s="46"/>
      <c r="Z2" s="46"/>
      <c r="AA2" s="46"/>
      <c r="AB2" s="46"/>
      <c r="AC2" s="46"/>
      <c r="AD2" s="77"/>
      <c r="AE2" s="46"/>
      <c r="AF2" s="46"/>
      <c r="AG2" s="46"/>
      <c r="AH2" s="46"/>
      <c r="AI2" s="46"/>
      <c r="AJ2" s="46"/>
      <c r="AK2" s="46"/>
      <c r="AL2" s="46"/>
      <c r="AM2" s="46"/>
      <c r="AN2" s="46"/>
      <c r="AO2" s="46"/>
      <c r="AP2" s="46"/>
      <c r="AQ2" s="46"/>
      <c r="AR2" s="46"/>
      <c r="AS2" s="46"/>
      <c r="AT2" s="46"/>
      <c r="AU2" s="46"/>
      <c r="AV2" s="46"/>
      <c r="AW2" s="46"/>
      <c r="AX2" s="46"/>
      <c r="AY2" s="46"/>
      <c r="AZ2" s="46"/>
    </row>
    <row r="3" spans="1:52" ht="8.15" customHeight="1">
      <c r="A3" s="36"/>
      <c r="B3" s="226"/>
      <c r="C3" s="36"/>
      <c r="D3" s="36"/>
      <c r="E3" s="36"/>
      <c r="F3" s="36"/>
      <c r="G3" s="36"/>
      <c r="H3" s="36"/>
      <c r="I3" s="36"/>
      <c r="J3" s="36"/>
      <c r="K3" s="36"/>
      <c r="L3" s="36"/>
      <c r="M3" s="36"/>
      <c r="N3" s="36"/>
      <c r="O3" s="36"/>
      <c r="P3" s="36"/>
      <c r="Q3" s="36"/>
      <c r="R3" s="36"/>
      <c r="S3" s="36"/>
      <c r="T3" s="36"/>
      <c r="U3" s="36"/>
      <c r="V3" s="36"/>
      <c r="W3" s="46"/>
      <c r="X3" s="55"/>
      <c r="Y3" s="46"/>
      <c r="Z3" s="46"/>
      <c r="AA3" s="46"/>
      <c r="AB3" s="46"/>
      <c r="AC3" s="46"/>
      <c r="AD3" s="77"/>
      <c r="AE3" s="46"/>
      <c r="AF3" s="46"/>
      <c r="AG3" s="46"/>
      <c r="AH3" s="46"/>
      <c r="AI3" s="46"/>
      <c r="AJ3" s="46"/>
      <c r="AK3" s="46"/>
      <c r="AL3" s="46"/>
      <c r="AM3" s="46"/>
      <c r="AN3" s="46"/>
      <c r="AO3" s="46"/>
      <c r="AP3" s="46"/>
      <c r="AQ3" s="46"/>
      <c r="AR3" s="46"/>
      <c r="AS3" s="46"/>
      <c r="AT3" s="46"/>
      <c r="AU3" s="46"/>
      <c r="AV3" s="46"/>
      <c r="AW3" s="46"/>
      <c r="AX3" s="46"/>
      <c r="AY3" s="46"/>
      <c r="AZ3" s="46"/>
    </row>
    <row r="4" spans="1:52" ht="18" customHeight="1">
      <c r="A4" s="36"/>
      <c r="B4" s="227" t="s">
        <v>485</v>
      </c>
      <c r="C4" s="36"/>
      <c r="D4" s="36"/>
      <c r="E4" s="36"/>
      <c r="F4" s="36"/>
      <c r="G4" s="36"/>
      <c r="H4" s="36"/>
      <c r="I4" s="36"/>
      <c r="J4" s="36"/>
      <c r="K4" s="36"/>
      <c r="L4" s="36"/>
      <c r="M4" s="36"/>
      <c r="N4" s="174"/>
      <c r="O4" s="174"/>
      <c r="P4" s="174"/>
      <c r="Q4" s="174"/>
      <c r="R4" s="174"/>
      <c r="S4" s="36"/>
      <c r="T4" s="36"/>
      <c r="U4" s="36"/>
      <c r="V4" s="36"/>
      <c r="W4" s="46"/>
      <c r="X4" s="55"/>
      <c r="Y4" s="46"/>
      <c r="Z4" s="46"/>
      <c r="AA4" s="46"/>
      <c r="AB4" s="46"/>
      <c r="AC4" s="46"/>
      <c r="AD4" s="77"/>
      <c r="AE4" s="46"/>
      <c r="AF4" s="46"/>
      <c r="AG4" s="46"/>
      <c r="AH4" s="46"/>
      <c r="AI4" s="46"/>
      <c r="AJ4" s="46"/>
      <c r="AK4" s="46"/>
      <c r="AL4" s="46"/>
      <c r="AM4" s="46"/>
      <c r="AN4" s="46"/>
      <c r="AO4" s="46"/>
      <c r="AP4" s="46"/>
      <c r="AQ4" s="46"/>
      <c r="AR4" s="46"/>
      <c r="AS4" s="46"/>
      <c r="AT4" s="46"/>
      <c r="AU4" s="46"/>
      <c r="AV4" s="46"/>
      <c r="AW4" s="46"/>
      <c r="AX4" s="46"/>
      <c r="AY4" s="46"/>
      <c r="AZ4" s="46"/>
    </row>
    <row r="5" spans="1:52" ht="18" customHeight="1">
      <c r="A5" s="36"/>
      <c r="B5" s="223" t="s">
        <v>467</v>
      </c>
      <c r="C5" s="36"/>
      <c r="D5" s="36"/>
      <c r="E5" s="36"/>
      <c r="F5" s="36"/>
      <c r="G5" s="36"/>
      <c r="H5" s="36"/>
      <c r="I5" s="36"/>
      <c r="J5" s="36"/>
      <c r="K5" s="36"/>
      <c r="L5" s="36"/>
      <c r="M5" s="36"/>
      <c r="N5" s="174"/>
      <c r="O5" s="174"/>
      <c r="P5" s="174"/>
      <c r="Q5" s="174"/>
      <c r="R5" s="174"/>
      <c r="S5" s="36"/>
      <c r="T5" s="36"/>
      <c r="U5" s="36"/>
      <c r="V5" s="36"/>
      <c r="W5" s="46"/>
      <c r="X5" s="55"/>
      <c r="Y5" s="46"/>
      <c r="Z5" s="46"/>
      <c r="AA5" s="46"/>
      <c r="AB5" s="46"/>
      <c r="AC5" s="46"/>
      <c r="AD5" s="77"/>
      <c r="AE5" s="46"/>
      <c r="AF5" s="46"/>
      <c r="AG5" s="46"/>
      <c r="AH5" s="46"/>
      <c r="AI5" s="46"/>
      <c r="AJ5" s="46"/>
      <c r="AK5" s="46"/>
      <c r="AL5" s="46"/>
      <c r="AM5" s="46"/>
      <c r="AN5" s="46"/>
      <c r="AO5" s="46"/>
      <c r="AP5" s="46"/>
      <c r="AQ5" s="46"/>
      <c r="AR5" s="46"/>
      <c r="AS5" s="46"/>
      <c r="AT5" s="46"/>
      <c r="AU5" s="46"/>
      <c r="AV5" s="46"/>
      <c r="AW5" s="46"/>
      <c r="AX5" s="46"/>
      <c r="AY5" s="46"/>
      <c r="AZ5" s="46"/>
    </row>
    <row r="6" spans="1:52" ht="18" customHeight="1">
      <c r="A6" s="36"/>
      <c r="B6" s="223" t="s">
        <v>468</v>
      </c>
      <c r="C6" s="36"/>
      <c r="D6" s="36"/>
      <c r="E6" s="36"/>
      <c r="F6" s="36"/>
      <c r="G6" s="36"/>
      <c r="H6" s="36"/>
      <c r="I6" s="36"/>
      <c r="J6" s="36"/>
      <c r="K6" s="36"/>
      <c r="L6" s="36"/>
      <c r="M6" s="36"/>
      <c r="N6" s="174"/>
      <c r="O6" s="174"/>
      <c r="P6" s="174"/>
      <c r="Q6" s="174"/>
      <c r="R6" s="174"/>
      <c r="S6" s="36"/>
      <c r="T6" s="36"/>
      <c r="U6" s="36"/>
      <c r="V6" s="36"/>
      <c r="W6" s="46"/>
      <c r="X6" s="55"/>
      <c r="Y6" s="46"/>
      <c r="Z6" s="46"/>
      <c r="AA6" s="46"/>
      <c r="AB6" s="46"/>
      <c r="AC6" s="46"/>
      <c r="AD6" s="77"/>
      <c r="AE6" s="46"/>
      <c r="AF6" s="46"/>
      <c r="AG6" s="46"/>
      <c r="AH6" s="46"/>
      <c r="AI6" s="46"/>
      <c r="AJ6" s="46"/>
      <c r="AK6" s="46"/>
      <c r="AL6" s="46"/>
      <c r="AM6" s="46"/>
      <c r="AN6" s="46"/>
      <c r="AO6" s="46"/>
      <c r="AP6" s="46"/>
      <c r="AQ6" s="46"/>
      <c r="AR6" s="46"/>
      <c r="AS6" s="46"/>
      <c r="AT6" s="46"/>
      <c r="AU6" s="46"/>
      <c r="AV6" s="46"/>
      <c r="AW6" s="46"/>
      <c r="AX6" s="46"/>
      <c r="AY6" s="46"/>
      <c r="AZ6" s="46"/>
    </row>
    <row r="7" spans="1:52" ht="8.15" customHeight="1" thickBot="1">
      <c r="A7" s="36"/>
      <c r="B7" s="224"/>
      <c r="C7" s="222"/>
      <c r="D7" s="222"/>
      <c r="E7" s="222"/>
      <c r="F7" s="222"/>
      <c r="G7" s="222"/>
      <c r="H7" s="222"/>
      <c r="I7" s="222"/>
      <c r="J7" s="222"/>
      <c r="K7" s="222"/>
      <c r="L7" s="222"/>
      <c r="M7" s="222"/>
      <c r="N7" s="225"/>
      <c r="O7" s="225"/>
      <c r="P7" s="225"/>
      <c r="Q7" s="225"/>
      <c r="R7" s="222"/>
      <c r="S7" s="222"/>
      <c r="T7" s="222"/>
      <c r="U7" s="222"/>
      <c r="V7" s="36"/>
      <c r="W7" s="46"/>
      <c r="X7" s="55"/>
      <c r="Y7" s="46"/>
      <c r="Z7" s="46"/>
      <c r="AA7" s="46"/>
      <c r="AB7" s="46"/>
      <c r="AC7" s="46"/>
      <c r="AD7" s="77"/>
      <c r="AE7" s="46"/>
      <c r="AF7" s="46"/>
      <c r="AG7" s="46"/>
      <c r="AH7" s="46"/>
      <c r="AI7" s="46"/>
      <c r="AJ7" s="46"/>
      <c r="AK7" s="46"/>
      <c r="AL7" s="46"/>
      <c r="AM7" s="46"/>
      <c r="AN7" s="46"/>
      <c r="AO7" s="46"/>
      <c r="AP7" s="46"/>
      <c r="AQ7" s="46"/>
      <c r="AR7" s="46"/>
      <c r="AS7" s="46"/>
      <c r="AT7" s="46"/>
      <c r="AU7" s="46"/>
      <c r="AV7" s="46"/>
      <c r="AW7" s="46"/>
      <c r="AX7" s="46"/>
      <c r="AY7" s="46"/>
      <c r="AZ7" s="46"/>
    </row>
    <row r="8" spans="1:52" ht="18" customHeight="1">
      <c r="A8" s="36"/>
      <c r="B8" s="174"/>
      <c r="C8" s="175"/>
      <c r="D8" s="174"/>
      <c r="E8" s="174"/>
      <c r="F8" s="174"/>
      <c r="G8" s="174"/>
      <c r="H8" s="174"/>
      <c r="I8" s="174"/>
      <c r="J8" s="174"/>
      <c r="K8" s="174"/>
      <c r="L8" s="174"/>
      <c r="M8" s="174"/>
      <c r="N8" s="174"/>
      <c r="O8" s="174"/>
      <c r="P8" s="174"/>
      <c r="Q8" s="174"/>
      <c r="R8" s="36"/>
      <c r="S8" s="36"/>
      <c r="T8" s="36"/>
      <c r="U8" s="36"/>
      <c r="V8" s="36"/>
      <c r="W8" s="46"/>
      <c r="X8" s="55"/>
      <c r="Y8" s="46"/>
      <c r="Z8" s="46"/>
      <c r="AA8" s="46"/>
      <c r="AB8" s="46"/>
      <c r="AC8" s="46"/>
      <c r="AD8" s="77"/>
      <c r="AE8" s="46"/>
      <c r="AF8" s="46"/>
      <c r="AG8" s="46"/>
      <c r="AH8" s="46"/>
      <c r="AI8" s="46"/>
      <c r="AJ8" s="46"/>
      <c r="AK8" s="46"/>
      <c r="AL8" s="46"/>
      <c r="AM8" s="46"/>
      <c r="AN8" s="46"/>
      <c r="AO8" s="46"/>
      <c r="AP8" s="46"/>
      <c r="AQ8" s="46"/>
      <c r="AR8" s="46"/>
      <c r="AS8" s="46"/>
      <c r="AT8" s="46"/>
      <c r="AU8" s="46"/>
      <c r="AV8" s="46"/>
      <c r="AW8" s="46"/>
      <c r="AX8" s="46"/>
      <c r="AY8" s="46"/>
      <c r="AZ8" s="46"/>
    </row>
    <row r="9" spans="1:52" ht="30" customHeight="1">
      <c r="A9" s="36"/>
      <c r="B9" s="197" t="s">
        <v>475</v>
      </c>
      <c r="C9" s="187"/>
      <c r="D9" s="187"/>
      <c r="E9" s="187"/>
      <c r="F9" s="187"/>
      <c r="G9" s="187"/>
      <c r="H9" s="187"/>
      <c r="I9" s="187"/>
      <c r="J9" s="187"/>
      <c r="K9" s="187"/>
      <c r="L9" s="187"/>
      <c r="M9" s="187"/>
      <c r="N9" s="187"/>
      <c r="O9" s="187"/>
      <c r="P9" s="187"/>
      <c r="Q9" s="187"/>
      <c r="R9" s="187"/>
      <c r="S9" s="187"/>
      <c r="T9" s="187"/>
      <c r="U9" s="198"/>
      <c r="V9" s="36"/>
      <c r="W9" s="46"/>
      <c r="X9" s="55"/>
      <c r="Y9" s="46"/>
      <c r="Z9" s="46"/>
      <c r="AA9" s="46"/>
      <c r="AB9" s="46"/>
      <c r="AC9" s="46"/>
      <c r="AD9" s="77"/>
      <c r="AE9" s="46"/>
      <c r="AF9" s="46"/>
      <c r="AG9" s="46"/>
      <c r="AH9" s="46"/>
      <c r="AI9" s="46"/>
      <c r="AJ9" s="46"/>
      <c r="AK9" s="46"/>
      <c r="AL9" s="46"/>
      <c r="AM9" s="46"/>
      <c r="AN9" s="46"/>
      <c r="AO9" s="46"/>
      <c r="AP9" s="46"/>
      <c r="AQ9" s="46"/>
      <c r="AR9" s="46"/>
      <c r="AS9" s="46"/>
      <c r="AT9" s="46"/>
      <c r="AU9" s="46"/>
      <c r="AV9" s="46"/>
      <c r="AW9" s="46"/>
      <c r="AX9" s="46"/>
      <c r="AY9" s="46"/>
      <c r="AZ9" s="46"/>
    </row>
    <row r="10" spans="1:52" ht="18" customHeight="1">
      <c r="A10" s="36"/>
      <c r="B10" s="188"/>
      <c r="C10" s="83" t="s">
        <v>465</v>
      </c>
      <c r="D10" s="36"/>
      <c r="E10" s="36"/>
      <c r="F10" s="36"/>
      <c r="G10" s="36"/>
      <c r="H10" s="36"/>
      <c r="I10" s="36"/>
      <c r="J10" s="36"/>
      <c r="K10" s="36"/>
      <c r="L10" s="36"/>
      <c r="M10" s="36"/>
      <c r="N10" s="36"/>
      <c r="O10" s="36"/>
      <c r="P10" s="36"/>
      <c r="Q10" s="36"/>
      <c r="R10" s="36"/>
      <c r="S10" s="36"/>
      <c r="T10" s="36"/>
      <c r="U10" s="189"/>
      <c r="V10" s="36"/>
      <c r="W10" s="46"/>
      <c r="X10" s="55"/>
      <c r="Y10" s="46"/>
      <c r="Z10" s="46"/>
      <c r="AA10" s="46"/>
      <c r="AB10" s="46"/>
      <c r="AC10" s="46"/>
      <c r="AD10" s="77"/>
      <c r="AE10" s="46"/>
      <c r="AF10" s="46"/>
      <c r="AG10" s="46"/>
      <c r="AH10" s="46"/>
      <c r="AI10" s="46"/>
      <c r="AJ10" s="46"/>
      <c r="AK10" s="46"/>
      <c r="AL10" s="46"/>
      <c r="AM10" s="46"/>
      <c r="AN10" s="46"/>
      <c r="AO10" s="46"/>
      <c r="AP10" s="46"/>
      <c r="AQ10" s="46"/>
      <c r="AR10" s="46"/>
      <c r="AS10" s="46"/>
      <c r="AT10" s="46"/>
      <c r="AU10" s="46"/>
      <c r="AV10" s="46"/>
      <c r="AW10" s="46"/>
      <c r="AX10" s="46"/>
      <c r="AY10" s="46"/>
      <c r="AZ10" s="46"/>
    </row>
    <row r="11" spans="1:52" ht="16" customHeight="1">
      <c r="A11" s="36"/>
      <c r="B11" s="188"/>
      <c r="C11" s="184" t="s">
        <v>471</v>
      </c>
      <c r="D11" s="190" t="s">
        <v>473</v>
      </c>
      <c r="E11" s="191"/>
      <c r="F11" s="191"/>
      <c r="G11" s="191"/>
      <c r="H11" s="191"/>
      <c r="I11" s="183" t="s">
        <v>474</v>
      </c>
      <c r="J11" s="190" t="s">
        <v>472</v>
      </c>
      <c r="K11" s="191"/>
      <c r="L11" s="191"/>
      <c r="M11" s="191"/>
      <c r="N11" s="36"/>
      <c r="O11" s="36"/>
      <c r="P11" s="36"/>
      <c r="Q11" s="36"/>
      <c r="R11" s="36"/>
      <c r="S11" s="36"/>
      <c r="T11" s="36"/>
      <c r="U11" s="189"/>
      <c r="V11" s="36"/>
      <c r="W11" s="46"/>
      <c r="X11" s="55"/>
      <c r="Y11" s="46"/>
      <c r="Z11" s="46"/>
      <c r="AA11" s="46"/>
      <c r="AB11" s="46"/>
      <c r="AC11" s="46"/>
      <c r="AD11" s="77"/>
      <c r="AE11" s="46"/>
      <c r="AF11" s="46"/>
      <c r="AG11" s="46"/>
      <c r="AH11" s="46"/>
      <c r="AI11" s="46"/>
      <c r="AJ11" s="46"/>
      <c r="AK11" s="46"/>
      <c r="AL11" s="46"/>
      <c r="AM11" s="46"/>
      <c r="AN11" s="46"/>
      <c r="AO11" s="46"/>
      <c r="AP11" s="46"/>
      <c r="AQ11" s="46"/>
      <c r="AR11" s="46"/>
      <c r="AS11" s="46"/>
      <c r="AT11" s="46"/>
      <c r="AU11" s="46"/>
      <c r="AV11" s="46"/>
      <c r="AW11" s="46"/>
      <c r="AX11" s="46"/>
      <c r="AY11" s="46"/>
      <c r="AZ11" s="46"/>
    </row>
    <row r="12" spans="1:52" ht="12" customHeight="1">
      <c r="A12" s="36"/>
      <c r="B12" s="188"/>
      <c r="C12" s="36"/>
      <c r="D12" s="36"/>
      <c r="E12" s="36"/>
      <c r="F12" s="36"/>
      <c r="G12" s="36"/>
      <c r="H12" s="36"/>
      <c r="I12" s="36"/>
      <c r="J12" s="36"/>
      <c r="K12" s="36"/>
      <c r="L12" s="36"/>
      <c r="M12" s="36"/>
      <c r="N12" s="36"/>
      <c r="O12" s="36"/>
      <c r="P12" s="36"/>
      <c r="Q12" s="36"/>
      <c r="R12" s="36"/>
      <c r="S12" s="36"/>
      <c r="T12" s="36"/>
      <c r="U12" s="189"/>
      <c r="V12" s="36"/>
      <c r="W12" s="46"/>
      <c r="X12" s="46"/>
      <c r="Y12" s="46"/>
      <c r="Z12" s="56" t="s">
        <v>77</v>
      </c>
      <c r="AA12" s="56" t="s">
        <v>78</v>
      </c>
      <c r="AB12" s="56" t="s">
        <v>78</v>
      </c>
      <c r="AC12" s="46"/>
      <c r="AD12" s="56" t="s">
        <v>89</v>
      </c>
      <c r="AE12" s="56" t="s">
        <v>90</v>
      </c>
      <c r="AF12" s="46"/>
      <c r="AG12" s="56" t="s">
        <v>69</v>
      </c>
      <c r="AH12" s="56" t="s">
        <v>70</v>
      </c>
      <c r="AI12" s="56" t="s">
        <v>73</v>
      </c>
      <c r="AJ12" s="56" t="s">
        <v>74</v>
      </c>
      <c r="AK12" s="56" t="s">
        <v>79</v>
      </c>
      <c r="AL12" s="56" t="s">
        <v>80</v>
      </c>
      <c r="AM12" s="46"/>
      <c r="AN12" s="46"/>
      <c r="AO12" s="46"/>
      <c r="AP12" s="46"/>
      <c r="AQ12" s="46"/>
      <c r="AR12" s="46"/>
      <c r="AS12" s="46"/>
      <c r="AT12" s="46"/>
      <c r="AU12" s="46"/>
      <c r="AV12" s="46"/>
      <c r="AW12" s="46"/>
      <c r="AX12" s="46"/>
      <c r="AY12" s="46"/>
      <c r="AZ12" s="46"/>
    </row>
    <row r="13" spans="1:52" ht="17.5">
      <c r="A13" s="36"/>
      <c r="B13" s="188"/>
      <c r="C13" s="254" t="s">
        <v>48</v>
      </c>
      <c r="D13" s="35"/>
      <c r="E13" s="256" t="s">
        <v>38</v>
      </c>
      <c r="F13" s="257"/>
      <c r="G13" s="35"/>
      <c r="H13" s="27" t="s">
        <v>466</v>
      </c>
      <c r="I13" s="28"/>
      <c r="J13" s="35"/>
      <c r="K13" s="27" t="s">
        <v>100</v>
      </c>
      <c r="L13" s="62"/>
      <c r="M13" s="63"/>
      <c r="N13" s="35"/>
      <c r="O13" s="27" t="s">
        <v>65</v>
      </c>
      <c r="P13" s="34"/>
      <c r="Q13" s="34"/>
      <c r="R13" s="34"/>
      <c r="S13" s="34"/>
      <c r="T13" s="28"/>
      <c r="U13" s="189"/>
      <c r="V13" s="36"/>
      <c r="W13" s="46"/>
      <c r="X13" s="247" t="s">
        <v>53</v>
      </c>
      <c r="Y13" s="68"/>
      <c r="Z13" s="60" t="s">
        <v>84</v>
      </c>
      <c r="AA13" s="40"/>
      <c r="AB13" s="41"/>
      <c r="AC13" s="68"/>
      <c r="AD13" s="58" t="s">
        <v>87</v>
      </c>
      <c r="AE13" s="59"/>
      <c r="AF13" s="68"/>
      <c r="AG13" s="60" t="s">
        <v>88</v>
      </c>
      <c r="AH13" s="40"/>
      <c r="AI13" s="40"/>
      <c r="AJ13" s="40"/>
      <c r="AK13" s="40"/>
      <c r="AL13" s="41"/>
      <c r="AM13" s="68"/>
      <c r="AN13" s="66" t="s">
        <v>108</v>
      </c>
      <c r="AO13" s="46"/>
      <c r="AP13" s="46"/>
      <c r="AQ13" s="46"/>
      <c r="AR13" s="46"/>
      <c r="AS13" s="46"/>
      <c r="AT13" s="46"/>
      <c r="AU13" s="46"/>
      <c r="AV13" s="46"/>
      <c r="AW13" s="46"/>
      <c r="AX13" s="46"/>
      <c r="AY13" s="46"/>
      <c r="AZ13" s="46"/>
    </row>
    <row r="14" spans="1:52" ht="36" customHeight="1">
      <c r="A14" s="36"/>
      <c r="B14" s="188"/>
      <c r="C14" s="255"/>
      <c r="D14" s="36"/>
      <c r="E14" s="258"/>
      <c r="F14" s="259"/>
      <c r="G14" s="36"/>
      <c r="H14" s="33" t="s">
        <v>57</v>
      </c>
      <c r="I14" s="33" t="s">
        <v>58</v>
      </c>
      <c r="J14" s="36"/>
      <c r="K14" s="33" t="s">
        <v>103</v>
      </c>
      <c r="L14" s="33" t="s">
        <v>101</v>
      </c>
      <c r="M14" s="33" t="s">
        <v>102</v>
      </c>
      <c r="N14" s="36"/>
      <c r="O14" s="42" t="s">
        <v>39</v>
      </c>
      <c r="P14" s="32"/>
      <c r="Q14" s="42" t="s">
        <v>40</v>
      </c>
      <c r="R14" s="32"/>
      <c r="S14" s="42" t="s">
        <v>41</v>
      </c>
      <c r="T14" s="32"/>
      <c r="U14" s="189"/>
      <c r="V14" s="36"/>
      <c r="W14" s="46"/>
      <c r="X14" s="248"/>
      <c r="Y14" s="69"/>
      <c r="Z14" s="22" t="s">
        <v>51</v>
      </c>
      <c r="AA14" s="22" t="s">
        <v>50</v>
      </c>
      <c r="AB14" s="22" t="s">
        <v>52</v>
      </c>
      <c r="AC14" s="69"/>
      <c r="AD14" s="61" t="s">
        <v>85</v>
      </c>
      <c r="AE14" s="61" t="s">
        <v>86</v>
      </c>
      <c r="AF14" s="69"/>
      <c r="AG14" s="22" t="s">
        <v>54</v>
      </c>
      <c r="AH14" s="22" t="s">
        <v>55</v>
      </c>
      <c r="AI14" s="22" t="s">
        <v>61</v>
      </c>
      <c r="AJ14" s="22" t="s">
        <v>62</v>
      </c>
      <c r="AK14" s="22" t="s">
        <v>60</v>
      </c>
      <c r="AL14" s="22" t="s">
        <v>59</v>
      </c>
      <c r="AM14" s="69"/>
      <c r="AN14" s="22" t="s">
        <v>109</v>
      </c>
      <c r="AO14" s="46"/>
      <c r="AP14" s="46"/>
      <c r="AQ14" s="46"/>
      <c r="AR14" s="46"/>
      <c r="AS14" s="46"/>
      <c r="AT14" s="46"/>
      <c r="AU14" s="46"/>
      <c r="AV14" s="46"/>
      <c r="AW14" s="46"/>
      <c r="AX14" s="46"/>
      <c r="AY14" s="46"/>
      <c r="AZ14" s="46"/>
    </row>
    <row r="15" spans="1:52" ht="10" customHeight="1">
      <c r="A15" s="36"/>
      <c r="B15" s="188"/>
      <c r="C15" s="26"/>
      <c r="D15" s="29"/>
      <c r="E15" s="44"/>
      <c r="F15" s="30"/>
      <c r="G15" s="29"/>
      <c r="H15" s="44"/>
      <c r="I15" s="67"/>
      <c r="J15" s="87"/>
      <c r="K15" s="44"/>
      <c r="L15" s="45"/>
      <c r="M15" s="67"/>
      <c r="N15" s="87"/>
      <c r="O15" s="44"/>
      <c r="P15" s="29"/>
      <c r="Q15" s="45"/>
      <c r="R15" s="29"/>
      <c r="S15" s="45"/>
      <c r="T15" s="30"/>
      <c r="U15" s="189"/>
      <c r="V15" s="36"/>
      <c r="W15" s="46"/>
      <c r="X15" s="47"/>
      <c r="Y15" s="46"/>
      <c r="Z15" s="72"/>
      <c r="AA15" s="46"/>
      <c r="AB15" s="73"/>
      <c r="AC15" s="46"/>
      <c r="AD15" s="72"/>
      <c r="AE15" s="73"/>
      <c r="AF15" s="46"/>
      <c r="AG15" s="72"/>
      <c r="AH15" s="46"/>
      <c r="AI15" s="46"/>
      <c r="AJ15" s="46"/>
      <c r="AK15" s="46"/>
      <c r="AL15" s="73"/>
      <c r="AM15" s="46"/>
      <c r="AN15" s="79"/>
      <c r="AO15" s="46"/>
      <c r="AP15" s="46"/>
      <c r="AQ15" s="46"/>
      <c r="AR15" s="46"/>
      <c r="AS15" s="46"/>
      <c r="AT15" s="46"/>
      <c r="AU15" s="46"/>
      <c r="AV15" s="46"/>
      <c r="AW15" s="46"/>
      <c r="AX15" s="46"/>
      <c r="AY15" s="46"/>
      <c r="AZ15" s="46"/>
    </row>
    <row r="16" spans="1:52" ht="36" customHeight="1">
      <c r="A16" s="36"/>
      <c r="B16" s="188"/>
      <c r="C16" s="43" t="s">
        <v>47</v>
      </c>
      <c r="D16" s="36"/>
      <c r="E16" s="86"/>
      <c r="F16" s="65" t="s">
        <v>56</v>
      </c>
      <c r="G16" s="36"/>
      <c r="H16" s="179"/>
      <c r="I16" s="179"/>
      <c r="J16" s="192"/>
      <c r="K16" s="180"/>
      <c r="L16" s="180"/>
      <c r="M16" s="180"/>
      <c r="N16" s="192"/>
      <c r="O16" s="88"/>
      <c r="P16" s="65" t="s">
        <v>63</v>
      </c>
      <c r="Q16" s="88"/>
      <c r="R16" s="65" t="s">
        <v>63</v>
      </c>
      <c r="S16" s="88"/>
      <c r="T16" s="65" t="s">
        <v>63</v>
      </c>
      <c r="U16" s="189"/>
      <c r="V16" s="36"/>
      <c r="W16" s="46"/>
      <c r="X16" s="38">
        <v>1</v>
      </c>
      <c r="Y16" s="48"/>
      <c r="Z16" s="51" cm="1">
        <f t="array" aca="1" ref="Z16" ca="1">_xlfn.XLOOKUP("●",OFFSET(所得計算!$F$4:$F$10,0,($X16-1)*2),OFFSET(所得計算!$E$4:$E$10,0,($X16-1)*2),"na",0,1)</f>
        <v>0</v>
      </c>
      <c r="AA16" s="51" cm="1">
        <f t="array" aca="1" ref="AA16" ca="1">_xlfn.XLOOKUP("●",OFFSET(所得計算!$F$16:$F$70,0,($X16-1)*2),OFFSET(所得計算!$E$16:$E$70,0,($X16-1)*2),"na",0,1)</f>
        <v>0</v>
      </c>
      <c r="AB16" s="51">
        <f>S16</f>
        <v>0</v>
      </c>
      <c r="AC16" s="48"/>
      <c r="AD16" s="51">
        <f>IF(OR(COUNTIF($AJ$16:$AJ$26,"&gt;0")+$M$58&gt;0,$M$50+$M$52&gt;0),IF($Z16&gt;=8500000,(IF($Z16&gt;10000000,10000000,$Z16)-8500000)*0.1,0),0)</f>
        <v>0</v>
      </c>
      <c r="AE16" s="51">
        <f ca="1">IF(AND($Z16&gt;0,$AA16&gt;0,$Z16+$AA16&gt;100000),IF($Z16&gt;100000,100000,$Z16)+IF($AA16&gt;100000,100000,$AA16)-100000,0)</f>
        <v>0</v>
      </c>
      <c r="AF16" s="48"/>
      <c r="AG16" s="51">
        <f ca="1">IF($Z16+$AA16&gt;=100000,100000,$Z16+$AA16)</f>
        <v>0</v>
      </c>
      <c r="AH16" s="76">
        <v>0</v>
      </c>
      <c r="AI16" s="51">
        <f>IF(OR($K16="身体障害者手帳3級",$K16="身体障害者手帳4級",$K16="身体障害者手帳5級",$K16="身体障害者手帳6級",
$L16="療育手帳B",
$M16="精神障害者保健福祉手帳2級",$M16="精神障害者保健福祉手帳3級"),
270000,0)</f>
        <v>0</v>
      </c>
      <c r="AJ16" s="51">
        <f>IF(OR($K16="身体障害者手帳1級",$K16="身体障害者手帳2級",
$L16="療育手帳A",
$M16="精神障害者保健福祉手帳1級"),
400000,0)</f>
        <v>0</v>
      </c>
      <c r="AK16" s="51">
        <f>IF(I16="○(該当)",IF($Z16+$AA16+$AB16-$AG16&gt;=270000,270000,$Z16+$AA16+$AB16-$AG16),0)</f>
        <v>0</v>
      </c>
      <c r="AL16" s="51">
        <f>IF(H16="○(該当)",IF($Z16+$AA16+$AB16-$AG16&gt;=350000,350000,$Z16+$AA16+$AB16-$AG16),0)</f>
        <v>0</v>
      </c>
      <c r="AM16" s="48"/>
      <c r="AN16" s="78" t="str">
        <f>IF(OR($K16="身体障害者手帳1級",$K16="身体障害者手帳2級",$K16="身体障害者手帳3級",$K16="身体障害者手帳4級",
$L16="療育手帳A",$L16="療育手帳B",
$M16="精神障害者保健福祉手帳1級",$M16="精神障害者保健福祉手帳2級",$M16="精神障害者保健福祉手帳3級"),"該当","非該当")</f>
        <v>非該当</v>
      </c>
      <c r="AO16" s="46"/>
      <c r="AP16" s="46"/>
      <c r="AQ16" s="46"/>
      <c r="AR16" s="46"/>
      <c r="AS16" s="46"/>
      <c r="AT16" s="46"/>
      <c r="AU16" s="46"/>
      <c r="AV16" s="46"/>
      <c r="AW16" s="46"/>
      <c r="AX16" s="46"/>
      <c r="AY16" s="46"/>
      <c r="AZ16" s="46"/>
    </row>
    <row r="17" spans="1:52" ht="10" customHeight="1">
      <c r="A17" s="36"/>
      <c r="B17" s="188"/>
      <c r="C17" s="26"/>
      <c r="D17" s="29"/>
      <c r="E17" s="44"/>
      <c r="F17" s="81"/>
      <c r="G17" s="29"/>
      <c r="H17" s="44"/>
      <c r="I17" s="67"/>
      <c r="J17" s="87"/>
      <c r="K17" s="44"/>
      <c r="L17" s="45"/>
      <c r="M17" s="67"/>
      <c r="N17" s="87"/>
      <c r="O17" s="89"/>
      <c r="P17" s="82"/>
      <c r="Q17" s="90"/>
      <c r="R17" s="82"/>
      <c r="S17" s="90"/>
      <c r="T17" s="81"/>
      <c r="U17" s="84"/>
      <c r="V17" s="36"/>
      <c r="W17" s="46"/>
      <c r="X17" s="47"/>
      <c r="Y17" s="46"/>
      <c r="Z17" s="70"/>
      <c r="AA17" s="57"/>
      <c r="AB17" s="71"/>
      <c r="AC17" s="46"/>
      <c r="AD17" s="72"/>
      <c r="AE17" s="73"/>
      <c r="AF17" s="46"/>
      <c r="AG17" s="72"/>
      <c r="AH17" s="46"/>
      <c r="AI17" s="46"/>
      <c r="AJ17" s="46"/>
      <c r="AK17" s="46"/>
      <c r="AL17" s="73"/>
      <c r="AM17" s="46"/>
      <c r="AN17" s="79"/>
      <c r="AO17" s="46"/>
      <c r="AP17" s="46"/>
      <c r="AQ17" s="46"/>
      <c r="AR17" s="46"/>
      <c r="AS17" s="46"/>
      <c r="AT17" s="46"/>
      <c r="AU17" s="46"/>
      <c r="AV17" s="46"/>
      <c r="AW17" s="46"/>
      <c r="AX17" s="46"/>
      <c r="AY17" s="46"/>
      <c r="AZ17" s="46"/>
    </row>
    <row r="18" spans="1:52" ht="36" customHeight="1">
      <c r="A18" s="36"/>
      <c r="B18" s="188"/>
      <c r="C18" s="43" t="s">
        <v>42</v>
      </c>
      <c r="D18" s="36"/>
      <c r="E18" s="86"/>
      <c r="F18" s="65" t="s">
        <v>56</v>
      </c>
      <c r="G18" s="36"/>
      <c r="H18" s="179"/>
      <c r="I18" s="179"/>
      <c r="J18" s="192"/>
      <c r="K18" s="180"/>
      <c r="L18" s="180"/>
      <c r="M18" s="180"/>
      <c r="N18" s="192"/>
      <c r="O18" s="88"/>
      <c r="P18" s="65" t="s">
        <v>63</v>
      </c>
      <c r="Q18" s="88"/>
      <c r="R18" s="65" t="s">
        <v>63</v>
      </c>
      <c r="S18" s="88"/>
      <c r="T18" s="65" t="s">
        <v>63</v>
      </c>
      <c r="U18" s="65"/>
      <c r="V18" s="36"/>
      <c r="W18" s="46"/>
      <c r="X18" s="38">
        <v>2</v>
      </c>
      <c r="Y18" s="48"/>
      <c r="Z18" s="51" cm="1">
        <f t="array" aca="1" ref="Z18" ca="1">_xlfn.XLOOKUP("●",OFFSET(所得計算!$F$4:$F$10,0,($X18-1)*2),OFFSET(所得計算!$E$4:$E$10,0,($X18-1)*2),"na",0,1)</f>
        <v>0</v>
      </c>
      <c r="AA18" s="51" cm="1">
        <f t="array" aca="1" ref="AA18" ca="1">_xlfn.XLOOKUP("●",OFFSET(所得計算!$F$16:$F$70,0,($X18-1)*2),OFFSET(所得計算!$E$16:$E$70,0,($X18-1)*2),"na",0,1)</f>
        <v>0</v>
      </c>
      <c r="AB18" s="51">
        <f>S18</f>
        <v>0</v>
      </c>
      <c r="AC18" s="48"/>
      <c r="AD18" s="51">
        <f>IF(OR(COUNTIF($AJ$16:$AJ$26,"&gt;0")+$M$58&gt;0,$M$50+$M$52&gt;0),IF($Z18&gt;=8500000,(IF($Z18&gt;10000000,10000000,$Z18)-8500000)*0.1,0),0)</f>
        <v>0</v>
      </c>
      <c r="AE18" s="51">
        <f ca="1">IF(AND($Z18&gt;0,$AA18&gt;0,$Z18+$AA18&gt;100000),IF($Z18&gt;100000,100000,$Z18)+IF($AA18&gt;100000,100000,$AA18)-100000,0)</f>
        <v>0</v>
      </c>
      <c r="AF18" s="48"/>
      <c r="AG18" s="51">
        <f ca="1">IF($Z18+$AA18&gt;=100000,100000,$Z18+$AA18)</f>
        <v>0</v>
      </c>
      <c r="AH18" s="51">
        <f>IF(COUNTA($E18)+COUNTA($H18:$M18)+COUNTA($O18)+COUNTA($Q18)+COUNTA($S18)=0,0,380000)</f>
        <v>0</v>
      </c>
      <c r="AI18" s="51">
        <f>IF(OR($K18="身体障害者手帳3級",$K18="身体障害者手帳4級",$K18="身体障害者手帳5級",$K18="身体障害者手帳6級",
$L18="療育手帳B",
$M18="精神障害者保健福祉手帳2級",$M18="精神障害者保健福祉手帳3級"),
270000,0)</f>
        <v>0</v>
      </c>
      <c r="AJ18" s="51">
        <f>IF(OR($K18="身体障害者手帳1級",$K18="身体障害者手帳2級",
$L18="療育手帳A",
$M18="精神障害者保健福祉手帳1級"),
400000,0)</f>
        <v>0</v>
      </c>
      <c r="AK18" s="51">
        <f>IF(I18="○(該当)",IF($Z18+$AA18+$AB18-$AG18&gt;=270000,270000,$Z18+$AA18+$AB18-$AG18),0)</f>
        <v>0</v>
      </c>
      <c r="AL18" s="51">
        <f>IF(H18="○(該当)",IF($Z18+$AA18+$AB18-$AG18&gt;=350000,350000,$Z18+$AA18+$AB18-$AG18),0)</f>
        <v>0</v>
      </c>
      <c r="AM18" s="48"/>
      <c r="AN18" s="78" t="str">
        <f>IF(OR($K18="身体障害者手帳1級",$K18="身体障害者手帳2級",$K18="身体障害者手帳3級",$K18="身体障害者手帳4級",
$L18="療育手帳A",$L18="療育手帳B",
$M18="精神障害者保健福祉手帳1級",$M18="精神障害者保健福祉手帳2級",$M18="精神障害者保健福祉手帳3級"),"該当","非該当")</f>
        <v>非該当</v>
      </c>
      <c r="AO18" s="46"/>
      <c r="AP18" s="46"/>
      <c r="AQ18" s="46"/>
      <c r="AR18" s="46"/>
      <c r="AS18" s="46"/>
      <c r="AT18" s="46"/>
      <c r="AU18" s="46"/>
      <c r="AV18" s="46"/>
      <c r="AW18" s="46"/>
      <c r="AX18" s="46"/>
      <c r="AY18" s="46"/>
      <c r="AZ18" s="46"/>
    </row>
    <row r="19" spans="1:52" ht="10" customHeight="1">
      <c r="A19" s="36"/>
      <c r="B19" s="188"/>
      <c r="C19" s="26"/>
      <c r="D19" s="29"/>
      <c r="E19" s="44"/>
      <c r="F19" s="81"/>
      <c r="G19" s="29"/>
      <c r="H19" s="44"/>
      <c r="I19" s="67"/>
      <c r="J19" s="87"/>
      <c r="K19" s="44"/>
      <c r="L19" s="45"/>
      <c r="M19" s="67"/>
      <c r="N19" s="87"/>
      <c r="O19" s="89"/>
      <c r="P19" s="82"/>
      <c r="Q19" s="90"/>
      <c r="R19" s="82"/>
      <c r="S19" s="90"/>
      <c r="T19" s="81"/>
      <c r="U19" s="84"/>
      <c r="V19" s="36"/>
      <c r="W19" s="46"/>
      <c r="X19" s="47"/>
      <c r="Y19" s="46"/>
      <c r="Z19" s="70"/>
      <c r="AA19" s="57"/>
      <c r="AB19" s="71"/>
      <c r="AC19" s="46"/>
      <c r="AD19" s="72"/>
      <c r="AE19" s="73"/>
      <c r="AF19" s="46"/>
      <c r="AG19" s="72"/>
      <c r="AH19" s="46"/>
      <c r="AI19" s="46"/>
      <c r="AJ19" s="46"/>
      <c r="AK19" s="46"/>
      <c r="AL19" s="73"/>
      <c r="AM19" s="46"/>
      <c r="AN19" s="79"/>
      <c r="AO19" s="46"/>
      <c r="AP19" s="46"/>
      <c r="AQ19" s="46"/>
      <c r="AR19" s="46"/>
      <c r="AS19" s="46"/>
      <c r="AT19" s="46"/>
      <c r="AU19" s="46"/>
      <c r="AV19" s="46"/>
      <c r="AW19" s="46"/>
      <c r="AX19" s="46"/>
      <c r="AY19" s="46"/>
      <c r="AZ19" s="46"/>
    </row>
    <row r="20" spans="1:52" ht="36" customHeight="1">
      <c r="A20" s="36"/>
      <c r="B20" s="188"/>
      <c r="C20" s="43" t="s">
        <v>43</v>
      </c>
      <c r="D20" s="36"/>
      <c r="E20" s="86"/>
      <c r="F20" s="65" t="s">
        <v>56</v>
      </c>
      <c r="G20" s="36"/>
      <c r="H20" s="179"/>
      <c r="I20" s="179"/>
      <c r="J20" s="193"/>
      <c r="K20" s="180"/>
      <c r="L20" s="180"/>
      <c r="M20" s="180"/>
      <c r="N20" s="193"/>
      <c r="O20" s="88"/>
      <c r="P20" s="65" t="s">
        <v>63</v>
      </c>
      <c r="Q20" s="88"/>
      <c r="R20" s="65" t="s">
        <v>63</v>
      </c>
      <c r="S20" s="88"/>
      <c r="T20" s="65" t="s">
        <v>63</v>
      </c>
      <c r="U20" s="65"/>
      <c r="V20" s="36"/>
      <c r="W20" s="46"/>
      <c r="X20" s="38">
        <v>3</v>
      </c>
      <c r="Y20" s="48"/>
      <c r="Z20" s="51" cm="1">
        <f t="array" aca="1" ref="Z20" ca="1">_xlfn.XLOOKUP("●",OFFSET(所得計算!$F$4:$F$10,0,($X20-1)*2),OFFSET(所得計算!$E$4:$E$10,0,($X20-1)*2),"na",0,1)</f>
        <v>0</v>
      </c>
      <c r="AA20" s="51" cm="1">
        <f t="array" aca="1" ref="AA20" ca="1">_xlfn.XLOOKUP("●",OFFSET(所得計算!$F$16:$F$70,0,($X20-1)*2),OFFSET(所得計算!$E$16:$E$70,0,($X20-1)*2),"na",0,1)</f>
        <v>0</v>
      </c>
      <c r="AB20" s="51">
        <f>S20</f>
        <v>0</v>
      </c>
      <c r="AC20" s="48"/>
      <c r="AD20" s="51">
        <f>IF(OR(COUNTIF($AJ$16:$AJ$26,"&gt;0")+$M$58&gt;0,$M$50+$M$52&gt;0),IF($Z20&gt;=8500000,(IF($Z20&gt;10000000,10000000,$Z20)-8500000)*0.1,0),0)</f>
        <v>0</v>
      </c>
      <c r="AE20" s="51">
        <f ca="1">IF(AND($Z20&gt;0,$AA20&gt;0,$Z20+$AA20&gt;100000),IF($Z20&gt;100000,100000,$Z20)+IF($AA20&gt;100000,100000,$AA20)-100000,0)</f>
        <v>0</v>
      </c>
      <c r="AF20" s="48"/>
      <c r="AG20" s="51">
        <f ca="1">IF($Z20+$AA20&gt;=100000,100000,$Z20+$AA20)</f>
        <v>0</v>
      </c>
      <c r="AH20" s="51">
        <f>IF(COUNTA($E20)+COUNTA($H20:$M20)+COUNTA($O20)+COUNTA($Q20)+COUNTA($S20)=0,0,380000)</f>
        <v>0</v>
      </c>
      <c r="AI20" s="51">
        <f>IF(OR($K20="身体障害者手帳3級",$K20="身体障害者手帳4級",$K20="身体障害者手帳5級",$K20="身体障害者手帳6級",
$L20="療育手帳B",
$M20="精神障害者保健福祉手帳2級",$M20="精神障害者保健福祉手帳3級"),
270000,0)</f>
        <v>0</v>
      </c>
      <c r="AJ20" s="51">
        <f>IF(OR($K20="身体障害者手帳1級",$K20="身体障害者手帳2級",
$L20="療育手帳A",
$M20="精神障害者保健福祉手帳1級"),
400000,0)</f>
        <v>0</v>
      </c>
      <c r="AK20" s="51">
        <f>IF(I20="○(該当)",IF($Z20+$AA20+$AB20-$AG20&gt;=270000,270000,$Z20+$AA20+$AB20-$AG20),0)</f>
        <v>0</v>
      </c>
      <c r="AL20" s="51">
        <f>IF(H20="○(該当)",IF($Z20+$AA20+$AB20-$AG20&gt;=350000,350000,$Z20+$AA20+$AB20-$AG20),0)</f>
        <v>0</v>
      </c>
      <c r="AM20" s="48"/>
      <c r="AN20" s="78" t="str">
        <f>IF(OR($K20="身体障害者手帳1級",$K20="身体障害者手帳2級",$K20="身体障害者手帳3級",$K20="身体障害者手帳4級",
$L20="療育手帳A",$L20="療育手帳B",
$M20="精神障害者保健福祉手帳1級",$M20="精神障害者保健福祉手帳2級",$M20="精神障害者保健福祉手帳3級"),"該当","非該当")</f>
        <v>非該当</v>
      </c>
      <c r="AO20" s="46"/>
      <c r="AP20" s="46"/>
      <c r="AQ20" s="46"/>
      <c r="AR20" s="46"/>
      <c r="AS20" s="46"/>
      <c r="AT20" s="46"/>
      <c r="AU20" s="46"/>
      <c r="AV20" s="46"/>
      <c r="AW20" s="46"/>
      <c r="AX20" s="46"/>
      <c r="AY20" s="46"/>
      <c r="AZ20" s="46"/>
    </row>
    <row r="21" spans="1:52" ht="10" customHeight="1">
      <c r="A21" s="36"/>
      <c r="B21" s="188"/>
      <c r="C21" s="26"/>
      <c r="D21" s="29"/>
      <c r="E21" s="44"/>
      <c r="F21" s="81"/>
      <c r="G21" s="29"/>
      <c r="H21" s="44"/>
      <c r="I21" s="67"/>
      <c r="J21" s="87"/>
      <c r="K21" s="44"/>
      <c r="L21" s="45"/>
      <c r="M21" s="67"/>
      <c r="N21" s="87"/>
      <c r="O21" s="89"/>
      <c r="P21" s="82"/>
      <c r="Q21" s="90"/>
      <c r="R21" s="82"/>
      <c r="S21" s="90"/>
      <c r="T21" s="81"/>
      <c r="U21" s="84"/>
      <c r="V21" s="36"/>
      <c r="W21" s="46"/>
      <c r="X21" s="47"/>
      <c r="Y21" s="46"/>
      <c r="Z21" s="70"/>
      <c r="AA21" s="57"/>
      <c r="AB21" s="71"/>
      <c r="AC21" s="46"/>
      <c r="AD21" s="72"/>
      <c r="AE21" s="73"/>
      <c r="AF21" s="46"/>
      <c r="AG21" s="72"/>
      <c r="AH21" s="46"/>
      <c r="AI21" s="46"/>
      <c r="AJ21" s="46"/>
      <c r="AK21" s="46"/>
      <c r="AL21" s="73"/>
      <c r="AM21" s="46"/>
      <c r="AN21" s="79"/>
      <c r="AO21" s="46"/>
      <c r="AP21" s="46"/>
      <c r="AQ21" s="46"/>
      <c r="AR21" s="46"/>
      <c r="AS21" s="46"/>
      <c r="AT21" s="46"/>
      <c r="AU21" s="46"/>
      <c r="AV21" s="46"/>
      <c r="AW21" s="46"/>
      <c r="AX21" s="46"/>
      <c r="AY21" s="46"/>
      <c r="AZ21" s="46"/>
    </row>
    <row r="22" spans="1:52" ht="36" customHeight="1">
      <c r="A22" s="36"/>
      <c r="B22" s="188"/>
      <c r="C22" s="43" t="s">
        <v>44</v>
      </c>
      <c r="D22" s="36"/>
      <c r="E22" s="86"/>
      <c r="F22" s="65" t="s">
        <v>56</v>
      </c>
      <c r="G22" s="36"/>
      <c r="H22" s="179"/>
      <c r="I22" s="179"/>
      <c r="J22" s="192"/>
      <c r="K22" s="180"/>
      <c r="L22" s="180"/>
      <c r="M22" s="180"/>
      <c r="N22" s="192"/>
      <c r="O22" s="88"/>
      <c r="P22" s="65" t="s">
        <v>63</v>
      </c>
      <c r="Q22" s="88"/>
      <c r="R22" s="65" t="s">
        <v>63</v>
      </c>
      <c r="S22" s="88"/>
      <c r="T22" s="65" t="s">
        <v>63</v>
      </c>
      <c r="U22" s="65"/>
      <c r="V22" s="36"/>
      <c r="W22" s="46"/>
      <c r="X22" s="38">
        <v>4</v>
      </c>
      <c r="Y22" s="48"/>
      <c r="Z22" s="51" cm="1">
        <f t="array" aca="1" ref="Z22" ca="1">_xlfn.XLOOKUP("●",OFFSET(所得計算!$F$4:$F$10,0,($X22-1)*2),OFFSET(所得計算!$E$4:$E$10,0,($X22-1)*2),"na",0,1)</f>
        <v>0</v>
      </c>
      <c r="AA22" s="51" cm="1">
        <f t="array" aca="1" ref="AA22" ca="1">_xlfn.XLOOKUP("●",OFFSET(所得計算!$F$16:$F$70,0,($X22-1)*2),OFFSET(所得計算!$E$16:$E$70,0,($X22-1)*2),"na",0,1)</f>
        <v>0</v>
      </c>
      <c r="AB22" s="51">
        <f>S22</f>
        <v>0</v>
      </c>
      <c r="AC22" s="48"/>
      <c r="AD22" s="51">
        <f>IF(OR(COUNTIF($AJ$16:$AJ$26,"&gt;0")+$M$58&gt;0,$M$50+$M$52&gt;0),IF($Z22&gt;=8500000,(IF($Z22&gt;10000000,10000000,$Z22)-8500000)*0.1,0),0)</f>
        <v>0</v>
      </c>
      <c r="AE22" s="51">
        <f ca="1">IF(AND($Z22&gt;0,$AA22&gt;0,$Z22+$AA22&gt;100000),IF($Z22&gt;100000,100000,$Z22)+IF($AA22&gt;100000,100000,$AA22)-100000,0)</f>
        <v>0</v>
      </c>
      <c r="AF22" s="48"/>
      <c r="AG22" s="51">
        <f ca="1">IF($Z22+$AA22&gt;=100000,100000,$Z22+$AA22)</f>
        <v>0</v>
      </c>
      <c r="AH22" s="51">
        <f>IF(COUNTA($E22)+COUNTA($H22:$M22)+COUNTA($O22)+COUNTA($Q22)+COUNTA($S22)=0,0,380000)</f>
        <v>0</v>
      </c>
      <c r="AI22" s="51">
        <f>IF(OR($K22="身体障害者手帳3級",$K22="身体障害者手帳4級",$K22="身体障害者手帳5級",$K22="身体障害者手帳6級",
$L22="療育手帳B",
$M22="精神障害者保健福祉手帳2級",$M22="精神障害者保健福祉手帳3級"),
270000,0)</f>
        <v>0</v>
      </c>
      <c r="AJ22" s="51">
        <f>IF(OR($K22="身体障害者手帳1級",$K22="身体障害者手帳2級",
$L22="療育手帳A",
$M22="精神障害者保健福祉手帳1級"),
400000,0)</f>
        <v>0</v>
      </c>
      <c r="AK22" s="51">
        <f>IF(I22="○(該当)",IF($Z22+$AA22+$AB22-$AG22&gt;=270000,270000,$Z22+$AA22+$AB22-$AG22),0)</f>
        <v>0</v>
      </c>
      <c r="AL22" s="51">
        <f>IF(H22="○(該当)",IF($Z22+$AA22+$AB22-$AG22&gt;=350000,350000,$Z22+$AA22+$AB22-$AG22),0)</f>
        <v>0</v>
      </c>
      <c r="AM22" s="48"/>
      <c r="AN22" s="78" t="str">
        <f>IF(OR($K22="身体障害者手帳1級",$K22="身体障害者手帳2級",$K22="身体障害者手帳3級",$K22="身体障害者手帳4級",
$L22="療育手帳A",$L22="療育手帳B",
$M22="精神障害者保健福祉手帳1級",$M22="精神障害者保健福祉手帳2級",$M22="精神障害者保健福祉手帳3級"),"該当","非該当")</f>
        <v>非該当</v>
      </c>
      <c r="AO22" s="46"/>
      <c r="AP22" s="46"/>
      <c r="AQ22" s="46"/>
      <c r="AR22" s="46"/>
      <c r="AS22" s="46"/>
      <c r="AT22" s="46"/>
      <c r="AU22" s="46"/>
      <c r="AV22" s="46"/>
      <c r="AW22" s="46"/>
      <c r="AX22" s="46"/>
      <c r="AY22" s="46"/>
      <c r="AZ22" s="46"/>
    </row>
    <row r="23" spans="1:52" ht="10" customHeight="1">
      <c r="A23" s="36"/>
      <c r="B23" s="188"/>
      <c r="C23" s="26"/>
      <c r="D23" s="29"/>
      <c r="E23" s="44"/>
      <c r="F23" s="81"/>
      <c r="G23" s="29"/>
      <c r="H23" s="44"/>
      <c r="I23" s="67"/>
      <c r="J23" s="87"/>
      <c r="K23" s="44"/>
      <c r="L23" s="45"/>
      <c r="M23" s="67"/>
      <c r="N23" s="87"/>
      <c r="O23" s="89"/>
      <c r="P23" s="82"/>
      <c r="Q23" s="90"/>
      <c r="R23" s="82"/>
      <c r="S23" s="90"/>
      <c r="T23" s="81"/>
      <c r="U23" s="84"/>
      <c r="V23" s="36"/>
      <c r="W23" s="46"/>
      <c r="X23" s="47"/>
      <c r="Y23" s="46"/>
      <c r="Z23" s="70"/>
      <c r="AA23" s="57"/>
      <c r="AB23" s="71"/>
      <c r="AC23" s="46"/>
      <c r="AD23" s="72"/>
      <c r="AE23" s="73"/>
      <c r="AF23" s="46"/>
      <c r="AG23" s="72"/>
      <c r="AH23" s="46"/>
      <c r="AI23" s="46"/>
      <c r="AJ23" s="46"/>
      <c r="AK23" s="46"/>
      <c r="AL23" s="73"/>
      <c r="AM23" s="46"/>
      <c r="AN23" s="79"/>
      <c r="AO23" s="46"/>
      <c r="AP23" s="46"/>
      <c r="AQ23" s="46"/>
      <c r="AR23" s="46"/>
      <c r="AS23" s="46"/>
      <c r="AT23" s="46"/>
      <c r="AU23" s="46"/>
      <c r="AV23" s="46"/>
      <c r="AW23" s="46"/>
      <c r="AX23" s="46"/>
      <c r="AY23" s="46"/>
      <c r="AZ23" s="46"/>
    </row>
    <row r="24" spans="1:52" ht="36" customHeight="1">
      <c r="A24" s="36"/>
      <c r="B24" s="188"/>
      <c r="C24" s="43" t="s">
        <v>45</v>
      </c>
      <c r="D24" s="36"/>
      <c r="E24" s="86"/>
      <c r="F24" s="65" t="s">
        <v>56</v>
      </c>
      <c r="G24" s="36"/>
      <c r="H24" s="179"/>
      <c r="I24" s="179"/>
      <c r="J24" s="192"/>
      <c r="K24" s="180"/>
      <c r="L24" s="180"/>
      <c r="M24" s="180"/>
      <c r="N24" s="192"/>
      <c r="O24" s="88"/>
      <c r="P24" s="65" t="s">
        <v>63</v>
      </c>
      <c r="Q24" s="88"/>
      <c r="R24" s="65" t="s">
        <v>63</v>
      </c>
      <c r="S24" s="88"/>
      <c r="T24" s="65" t="s">
        <v>63</v>
      </c>
      <c r="U24" s="65"/>
      <c r="V24" s="36"/>
      <c r="W24" s="46"/>
      <c r="X24" s="38">
        <v>5</v>
      </c>
      <c r="Y24" s="48"/>
      <c r="Z24" s="51" cm="1">
        <f t="array" aca="1" ref="Z24" ca="1">_xlfn.XLOOKUP("●",OFFSET(所得計算!$F$4:$F$10,0,($X24-1)*2),OFFSET(所得計算!$E$4:$E$10,0,($X24-1)*2),"na",0,1)</f>
        <v>0</v>
      </c>
      <c r="AA24" s="51" cm="1">
        <f t="array" aca="1" ref="AA24" ca="1">_xlfn.XLOOKUP("●",OFFSET(所得計算!$F$16:$F$70,0,($X24-1)*2),OFFSET(所得計算!$E$16:$E$70,0,($X24-1)*2),"na",0,1)</f>
        <v>0</v>
      </c>
      <c r="AB24" s="51">
        <f>S24</f>
        <v>0</v>
      </c>
      <c r="AC24" s="48"/>
      <c r="AD24" s="51">
        <f>IF(OR(COUNTIF($AJ$16:$AJ$26,"&gt;0")+$M$58&gt;0,$M$50+$M$52&gt;0),IF($Z24&gt;=8500000,(IF($Z24&gt;10000000,10000000,$Z24)-8500000)*0.1,0),0)</f>
        <v>0</v>
      </c>
      <c r="AE24" s="51">
        <f ca="1">IF(AND($Z24&gt;0,$AA24&gt;0,$Z24+$AA24&gt;100000),IF($Z24&gt;100000,100000,$Z24)+IF($AA24&gt;100000,100000,$AA24)-100000,0)</f>
        <v>0</v>
      </c>
      <c r="AF24" s="48"/>
      <c r="AG24" s="51">
        <f ca="1">IF($Z24+$AA24&gt;=100000,100000,$Z24+$AA24)</f>
        <v>0</v>
      </c>
      <c r="AH24" s="51">
        <f>IF(COUNTA($E24)+COUNTA($H24:$M24)+COUNTA($O24)+COUNTA($Q24)+COUNTA($S24)=0,0,380000)</f>
        <v>0</v>
      </c>
      <c r="AI24" s="51">
        <f>IF(OR($K24="身体障害者手帳3級",$K24="身体障害者手帳4級",$K24="身体障害者手帳5級",$K24="身体障害者手帳6級",
$L24="療育手帳B",
$M24="精神障害者保健福祉手帳2級",$M24="精神障害者保健福祉手帳3級"),
270000,0)</f>
        <v>0</v>
      </c>
      <c r="AJ24" s="51">
        <f>IF(OR($K24="身体障害者手帳1級",$K24="身体障害者手帳2級",
$L24="療育手帳A",
$M24="精神障害者保健福祉手帳1級"),
400000,0)</f>
        <v>0</v>
      </c>
      <c r="AK24" s="51">
        <f>IF(I24="○(該当)",IF($Z24+$AA24+$AB24-$AG24&gt;=270000,270000,$Z24+$AA24+$AB24-$AG24),0)</f>
        <v>0</v>
      </c>
      <c r="AL24" s="51">
        <f>IF(H24="○(該当)",IF($Z24+$AA24+$AB24-$AG24&gt;=350000,350000,$Z24+$AA24+$AB24-$AG24),0)</f>
        <v>0</v>
      </c>
      <c r="AM24" s="48"/>
      <c r="AN24" s="78" t="str">
        <f>IF(OR($K24="身体障害者手帳1級",$K24="身体障害者手帳2級",$K24="身体障害者手帳3級",$K24="身体障害者手帳4級",
$L24="療育手帳A",$L24="療育手帳B",
$M24="精神障害者保健福祉手帳1級",$M24="精神障害者保健福祉手帳2級",$M24="精神障害者保健福祉手帳3級"),"該当","非該当")</f>
        <v>非該当</v>
      </c>
      <c r="AO24" s="46"/>
      <c r="AP24" s="46"/>
      <c r="AQ24" s="46"/>
      <c r="AR24" s="46"/>
      <c r="AS24" s="46"/>
      <c r="AT24" s="46"/>
      <c r="AU24" s="46"/>
      <c r="AV24" s="46"/>
      <c r="AW24" s="46"/>
      <c r="AX24" s="46"/>
      <c r="AY24" s="46"/>
      <c r="AZ24" s="46"/>
    </row>
    <row r="25" spans="1:52" ht="10" customHeight="1">
      <c r="A25" s="36"/>
      <c r="B25" s="188"/>
      <c r="C25" s="26"/>
      <c r="D25" s="29"/>
      <c r="E25" s="44"/>
      <c r="F25" s="81"/>
      <c r="G25" s="29"/>
      <c r="H25" s="44"/>
      <c r="I25" s="67"/>
      <c r="J25" s="87"/>
      <c r="K25" s="44"/>
      <c r="L25" s="45"/>
      <c r="M25" s="67"/>
      <c r="N25" s="87"/>
      <c r="O25" s="89"/>
      <c r="P25" s="82"/>
      <c r="Q25" s="90"/>
      <c r="R25" s="82"/>
      <c r="S25" s="90"/>
      <c r="T25" s="81"/>
      <c r="U25" s="84"/>
      <c r="V25" s="36"/>
      <c r="W25" s="46"/>
      <c r="X25" s="47"/>
      <c r="Y25" s="46"/>
      <c r="Z25" s="70"/>
      <c r="AA25" s="57"/>
      <c r="AB25" s="71"/>
      <c r="AC25" s="46"/>
      <c r="AD25" s="72"/>
      <c r="AE25" s="73"/>
      <c r="AF25" s="46"/>
      <c r="AG25" s="72"/>
      <c r="AH25" s="46"/>
      <c r="AI25" s="46"/>
      <c r="AJ25" s="46"/>
      <c r="AK25" s="46"/>
      <c r="AL25" s="73"/>
      <c r="AM25" s="46"/>
      <c r="AN25" s="79"/>
      <c r="AO25" s="46"/>
      <c r="AP25" s="46"/>
      <c r="AQ25" s="46"/>
      <c r="AR25" s="46"/>
      <c r="AS25" s="46"/>
      <c r="AT25" s="46"/>
      <c r="AU25" s="46"/>
      <c r="AV25" s="46"/>
      <c r="AW25" s="46"/>
      <c r="AX25" s="46"/>
      <c r="AY25" s="46"/>
      <c r="AZ25" s="46"/>
    </row>
    <row r="26" spans="1:52" ht="36" customHeight="1">
      <c r="A26" s="36"/>
      <c r="B26" s="188"/>
      <c r="C26" s="43" t="s">
        <v>46</v>
      </c>
      <c r="D26" s="36"/>
      <c r="E26" s="86"/>
      <c r="F26" s="65" t="s">
        <v>56</v>
      </c>
      <c r="G26" s="36"/>
      <c r="H26" s="179"/>
      <c r="I26" s="179"/>
      <c r="J26" s="192"/>
      <c r="K26" s="180"/>
      <c r="L26" s="180"/>
      <c r="M26" s="180"/>
      <c r="N26" s="192"/>
      <c r="O26" s="88"/>
      <c r="P26" s="65" t="s">
        <v>63</v>
      </c>
      <c r="Q26" s="88"/>
      <c r="R26" s="65" t="s">
        <v>63</v>
      </c>
      <c r="S26" s="88"/>
      <c r="T26" s="65" t="s">
        <v>63</v>
      </c>
      <c r="U26" s="65"/>
      <c r="V26" s="36"/>
      <c r="W26" s="46"/>
      <c r="X26" s="38">
        <v>6</v>
      </c>
      <c r="Y26" s="48"/>
      <c r="Z26" s="51" cm="1">
        <f t="array" aca="1" ref="Z26" ca="1">_xlfn.XLOOKUP("●",OFFSET(所得計算!$F$4:$F$10,0,($X26-1)*2),OFFSET(所得計算!$E$4:$E$10,0,($X26-1)*2),"na",0,1)</f>
        <v>0</v>
      </c>
      <c r="AA26" s="51" cm="1">
        <f t="array" aca="1" ref="AA26" ca="1">_xlfn.XLOOKUP("●",OFFSET(所得計算!$F$16:$F$70,0,($X26-1)*2),OFFSET(所得計算!$E$16:$E$70,0,($X26-1)*2),"na",0,1)</f>
        <v>0</v>
      </c>
      <c r="AB26" s="51">
        <f>S26</f>
        <v>0</v>
      </c>
      <c r="AC26" s="48"/>
      <c r="AD26" s="51">
        <f>IF(OR(COUNTIF($AJ$16:$AJ$26,"&gt;0")+$M$58&gt;0,$M$50+$M$52&gt;0),IF($Z26&gt;=8500000,(IF($Z26&gt;10000000,10000000,$Z26)-8500000)*0.1,0),0)</f>
        <v>0</v>
      </c>
      <c r="AE26" s="51">
        <f ca="1">IF(AND($Z26&gt;0,$AA26&gt;0,$Z26+$AA26&gt;100000),IF($Z26&gt;100000,100000,$Z26)+IF($AA26&gt;100000,100000,$AA26)-100000,0)</f>
        <v>0</v>
      </c>
      <c r="AF26" s="48"/>
      <c r="AG26" s="51">
        <f ca="1">IF($Z26+$AA26&gt;=100000,100000,$Z26+$AA26)</f>
        <v>0</v>
      </c>
      <c r="AH26" s="51">
        <f>IF(COUNTA($E26)+COUNTA($H26:$M26)+COUNTA($O26)+COUNTA($Q26)+COUNTA($S26)=0,0,380000)</f>
        <v>0</v>
      </c>
      <c r="AI26" s="51">
        <f>IF(OR($K26="身体障害者手帳3級",$K26="身体障害者手帳4級",$K26="身体障害者手帳5級",$K26="身体障害者手帳6級",
$L26="療育手帳B",
$M26="精神障害者保健福祉手帳2級",$M26="精神障害者保健福祉手帳3級"),
270000,0)</f>
        <v>0</v>
      </c>
      <c r="AJ26" s="51">
        <f>IF(OR($K26="身体障害者手帳1級",$K26="身体障害者手帳2級",
$L26="療育手帳A",
$M26="精神障害者保健福祉手帳1級"),
400000,0)</f>
        <v>0</v>
      </c>
      <c r="AK26" s="51">
        <f>IF(I26="○(該当)",IF($Z26+$AA26+$AB26-$AG26&gt;=270000,270000,$Z26+$AA26+$AB26-$AG26),0)</f>
        <v>0</v>
      </c>
      <c r="AL26" s="51">
        <f>IF(H26="○(該当)",IF($Z26+$AA26+$AB26-$AG26&gt;=350000,350000,$Z26+$AA26+$AB26-$AG26),0)</f>
        <v>0</v>
      </c>
      <c r="AM26" s="48"/>
      <c r="AN26" s="78" t="str">
        <f>IF(OR($K26="身体障害者手帳1級",$K26="身体障害者手帳2級",$K26="身体障害者手帳3級",$K26="身体障害者手帳4級",
$L26="療育手帳A",$L26="療育手帳B",
$M26="精神障害者保健福祉手帳1級",$M26="精神障害者保健福祉手帳2級",$M26="精神障害者保健福祉手帳3級"),"該当","非該当")</f>
        <v>非該当</v>
      </c>
      <c r="AO26" s="46"/>
      <c r="AP26" s="46"/>
      <c r="AQ26" s="46"/>
      <c r="AR26" s="46"/>
      <c r="AS26" s="46"/>
      <c r="AT26" s="46"/>
      <c r="AU26" s="46"/>
      <c r="AV26" s="46"/>
      <c r="AW26" s="46"/>
      <c r="AX26" s="46"/>
      <c r="AY26" s="46"/>
      <c r="AZ26" s="46"/>
    </row>
    <row r="27" spans="1:52" ht="10" customHeight="1">
      <c r="A27" s="36"/>
      <c r="B27" s="188"/>
      <c r="C27" s="26"/>
      <c r="D27" s="29"/>
      <c r="E27" s="44"/>
      <c r="F27" s="30"/>
      <c r="G27" s="29"/>
      <c r="H27" s="44"/>
      <c r="I27" s="67"/>
      <c r="J27" s="87"/>
      <c r="K27" s="44"/>
      <c r="L27" s="45"/>
      <c r="M27" s="67"/>
      <c r="N27" s="87"/>
      <c r="O27" s="44"/>
      <c r="P27" s="29"/>
      <c r="Q27" s="45"/>
      <c r="R27" s="29"/>
      <c r="S27" s="45"/>
      <c r="T27" s="30"/>
      <c r="U27" s="189"/>
      <c r="V27" s="36"/>
      <c r="W27" s="46"/>
      <c r="X27" s="49"/>
      <c r="Y27" s="69"/>
      <c r="Z27" s="74"/>
      <c r="AA27" s="69"/>
      <c r="AB27" s="75"/>
      <c r="AC27" s="69"/>
      <c r="AD27" s="74"/>
      <c r="AE27" s="75"/>
      <c r="AF27" s="69"/>
      <c r="AG27" s="74"/>
      <c r="AH27" s="69"/>
      <c r="AI27" s="69"/>
      <c r="AJ27" s="69"/>
      <c r="AK27" s="69"/>
      <c r="AL27" s="75"/>
      <c r="AM27" s="69"/>
      <c r="AN27" s="80"/>
      <c r="AO27" s="46"/>
      <c r="AP27" s="46"/>
      <c r="AQ27" s="46"/>
      <c r="AR27" s="46"/>
      <c r="AS27" s="46"/>
      <c r="AT27" s="46"/>
      <c r="AU27" s="46"/>
      <c r="AV27" s="46"/>
      <c r="AW27" s="46"/>
      <c r="AX27" s="46"/>
      <c r="AY27" s="46"/>
      <c r="AZ27" s="46"/>
    </row>
    <row r="28" spans="1:52" ht="20.149999999999999" customHeight="1">
      <c r="A28" s="36"/>
      <c r="B28" s="188"/>
      <c r="C28" s="36"/>
      <c r="D28" s="36"/>
      <c r="E28" s="36"/>
      <c r="F28" s="36"/>
      <c r="G28" s="36"/>
      <c r="H28" s="36"/>
      <c r="I28" s="36"/>
      <c r="J28" s="36"/>
      <c r="K28" s="36"/>
      <c r="L28" s="36"/>
      <c r="M28" s="36"/>
      <c r="N28" s="36"/>
      <c r="O28" s="36"/>
      <c r="P28" s="36"/>
      <c r="Q28" s="36"/>
      <c r="R28" s="36"/>
      <c r="S28" s="36"/>
      <c r="T28" s="36"/>
      <c r="U28" s="189"/>
      <c r="V28" s="3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row>
    <row r="29" spans="1:52" ht="20.149999999999999" customHeight="1">
      <c r="A29" s="36"/>
      <c r="B29" s="188"/>
      <c r="C29" s="36"/>
      <c r="D29" s="36"/>
      <c r="E29" s="36"/>
      <c r="F29" s="36"/>
      <c r="G29" s="36"/>
      <c r="H29" s="36"/>
      <c r="I29" s="36"/>
      <c r="J29" s="36"/>
      <c r="K29" s="36"/>
      <c r="L29" s="36"/>
      <c r="M29" s="36"/>
      <c r="N29" s="36"/>
      <c r="O29" s="36"/>
      <c r="P29" s="36"/>
      <c r="Q29" s="36"/>
      <c r="R29" s="36"/>
      <c r="S29" s="36"/>
      <c r="T29" s="36"/>
      <c r="U29" s="189"/>
      <c r="V29" s="36"/>
      <c r="W29" s="46"/>
      <c r="X29" s="52" t="s">
        <v>81</v>
      </c>
      <c r="Y29" s="53"/>
      <c r="Z29" s="54"/>
      <c r="AA29" s="51">
        <f ca="1">SUM($Z$16:$AB$16,$Z$18:$AB$18,$Z$20:$AB$20,$Z$22:$AB$22,$Z$24:$AB$24,$Z$26:$AB$26)-SUM($AD$16:$AE$16,$AD$18:$AE$18,$AD$20:$AE$20,$AD$22:$AE$22,$AD$24:$AE$24,$AD$26:$AE$26)</f>
        <v>0</v>
      </c>
      <c r="AB29" s="46"/>
      <c r="AC29" s="46"/>
      <c r="AD29" s="274" t="s">
        <v>532</v>
      </c>
      <c r="AE29" s="275"/>
      <c r="AF29" s="46"/>
      <c r="AG29" s="211" t="s">
        <v>526</v>
      </c>
      <c r="AH29" s="68"/>
      <c r="AI29" s="68"/>
      <c r="AJ29" s="68"/>
      <c r="AK29" s="68"/>
      <c r="AL29" s="68"/>
      <c r="AM29" s="68"/>
      <c r="AN29" s="68"/>
      <c r="AO29" s="68"/>
      <c r="AP29" s="212"/>
      <c r="AQ29" s="46"/>
      <c r="AR29" s="46"/>
      <c r="AS29" s="46"/>
      <c r="AT29" s="46"/>
      <c r="AU29" s="46"/>
      <c r="AV29" s="46"/>
      <c r="AW29" s="46"/>
      <c r="AX29" s="46"/>
      <c r="AY29" s="46"/>
      <c r="AZ29" s="46"/>
    </row>
    <row r="30" spans="1:52" ht="20.149999999999999" customHeight="1">
      <c r="A30" s="36"/>
      <c r="B30" s="188"/>
      <c r="C30" s="36"/>
      <c r="D30" s="36"/>
      <c r="E30" s="36"/>
      <c r="F30" s="36"/>
      <c r="G30" s="36"/>
      <c r="H30" s="36"/>
      <c r="I30" s="36"/>
      <c r="J30" s="36"/>
      <c r="K30" s="36"/>
      <c r="L30" s="36"/>
      <c r="M30" s="36"/>
      <c r="N30" s="36"/>
      <c r="O30" s="36"/>
      <c r="P30" s="36"/>
      <c r="Q30" s="36"/>
      <c r="R30" s="36"/>
      <c r="S30" s="36"/>
      <c r="T30" s="36"/>
      <c r="U30" s="189"/>
      <c r="V30" s="36"/>
      <c r="W30" s="46"/>
      <c r="X30" s="46"/>
      <c r="Y30" s="46"/>
      <c r="Z30" s="46"/>
      <c r="AA30" s="46"/>
      <c r="AB30" s="46"/>
      <c r="AC30" s="46"/>
      <c r="AD30" s="276"/>
      <c r="AE30" s="277"/>
      <c r="AF30" s="46"/>
      <c r="AG30" s="213" t="s">
        <v>521</v>
      </c>
      <c r="AH30" s="46"/>
      <c r="AI30" s="46"/>
      <c r="AJ30" s="46"/>
      <c r="AK30" s="46"/>
      <c r="AL30" s="46"/>
      <c r="AM30" s="46"/>
      <c r="AN30" s="46"/>
      <c r="AO30" s="46"/>
      <c r="AP30" s="73"/>
      <c r="AQ30" s="46"/>
      <c r="AR30" s="46"/>
      <c r="AS30" s="46"/>
      <c r="AT30" s="46"/>
      <c r="AU30" s="46"/>
      <c r="AV30" s="46"/>
      <c r="AW30" s="46"/>
      <c r="AX30" s="46"/>
      <c r="AY30" s="46"/>
      <c r="AZ30" s="46"/>
    </row>
    <row r="31" spans="1:52" ht="20.149999999999999" customHeight="1">
      <c r="A31" s="36"/>
      <c r="B31" s="188"/>
      <c r="C31" s="36"/>
      <c r="D31" s="36"/>
      <c r="E31" s="36"/>
      <c r="F31" s="36"/>
      <c r="G31" s="36"/>
      <c r="H31" s="36"/>
      <c r="I31" s="36"/>
      <c r="J31" s="36"/>
      <c r="K31" s="36"/>
      <c r="L31" s="36"/>
      <c r="M31" s="36"/>
      <c r="N31" s="36"/>
      <c r="O31" s="36"/>
      <c r="P31" s="36"/>
      <c r="Q31" s="36"/>
      <c r="R31" s="36"/>
      <c r="S31" s="36"/>
      <c r="T31" s="36"/>
      <c r="U31" s="189"/>
      <c r="V31" s="36"/>
      <c r="W31" s="46"/>
      <c r="X31" s="46"/>
      <c r="Y31" s="46"/>
      <c r="Z31" s="46"/>
      <c r="AA31" s="46"/>
      <c r="AB31" s="46"/>
      <c r="AC31" s="46"/>
      <c r="AD31" s="276"/>
      <c r="AE31" s="277"/>
      <c r="AF31" s="46"/>
      <c r="AG31" s="214" t="s">
        <v>525</v>
      </c>
      <c r="AH31" s="46"/>
      <c r="AI31" s="46"/>
      <c r="AJ31" s="46"/>
      <c r="AK31" s="46"/>
      <c r="AL31" s="46"/>
      <c r="AM31" s="46"/>
      <c r="AN31" s="46"/>
      <c r="AO31" s="46"/>
      <c r="AP31" s="73"/>
      <c r="AQ31" s="46"/>
      <c r="AR31" s="46"/>
      <c r="AS31" s="46"/>
      <c r="AT31" s="46"/>
      <c r="AU31" s="46"/>
      <c r="AV31" s="46"/>
      <c r="AW31" s="46"/>
      <c r="AX31" s="46"/>
      <c r="AY31" s="46"/>
      <c r="AZ31" s="46"/>
    </row>
    <row r="32" spans="1:52" ht="20.149999999999999" customHeight="1">
      <c r="A32" s="36"/>
      <c r="B32" s="188"/>
      <c r="C32" s="36"/>
      <c r="D32" s="36"/>
      <c r="E32" s="36"/>
      <c r="F32" s="36"/>
      <c r="G32" s="36"/>
      <c r="H32" s="36"/>
      <c r="I32" s="36"/>
      <c r="J32" s="36"/>
      <c r="K32" s="36"/>
      <c r="L32" s="36"/>
      <c r="M32" s="36"/>
      <c r="N32" s="36"/>
      <c r="O32" s="36"/>
      <c r="P32" s="36"/>
      <c r="Q32" s="36"/>
      <c r="R32" s="36"/>
      <c r="S32" s="36"/>
      <c r="T32" s="36"/>
      <c r="U32" s="189"/>
      <c r="V32" s="36"/>
      <c r="W32" s="46"/>
      <c r="X32" s="46"/>
      <c r="Y32" s="46"/>
      <c r="Z32" s="46"/>
      <c r="AA32" s="46"/>
      <c r="AB32" s="46"/>
      <c r="AC32" s="46"/>
      <c r="AD32" s="276"/>
      <c r="AE32" s="277"/>
      <c r="AF32" s="46"/>
      <c r="AG32" s="214" t="s">
        <v>527</v>
      </c>
      <c r="AH32" s="46"/>
      <c r="AI32" s="46"/>
      <c r="AJ32" s="46"/>
      <c r="AK32" s="46"/>
      <c r="AL32" s="46"/>
      <c r="AM32" s="46"/>
      <c r="AN32" s="46"/>
      <c r="AO32" s="46"/>
      <c r="AP32" s="73"/>
      <c r="AQ32" s="46"/>
      <c r="AR32" s="46"/>
      <c r="AS32" s="46"/>
      <c r="AT32" s="46"/>
      <c r="AU32" s="46"/>
      <c r="AV32" s="46"/>
      <c r="AW32" s="46"/>
      <c r="AX32" s="46"/>
      <c r="AY32" s="46"/>
      <c r="AZ32" s="46"/>
    </row>
    <row r="33" spans="1:52" ht="20.149999999999999" customHeight="1">
      <c r="A33" s="36"/>
      <c r="B33" s="188"/>
      <c r="C33" s="36"/>
      <c r="D33" s="36"/>
      <c r="E33" s="36"/>
      <c r="F33" s="36"/>
      <c r="G33" s="36"/>
      <c r="H33" s="36"/>
      <c r="I33" s="36"/>
      <c r="J33" s="36"/>
      <c r="K33" s="36"/>
      <c r="L33" s="36"/>
      <c r="M33" s="36"/>
      <c r="N33" s="36"/>
      <c r="O33" s="36"/>
      <c r="P33" s="36"/>
      <c r="Q33" s="36"/>
      <c r="R33" s="36"/>
      <c r="S33" s="36"/>
      <c r="T33" s="36"/>
      <c r="U33" s="189"/>
      <c r="V33" s="36"/>
      <c r="W33" s="46"/>
      <c r="X33" s="46"/>
      <c r="Y33" s="46"/>
      <c r="Z33" s="46"/>
      <c r="AA33" s="46"/>
      <c r="AB33" s="46"/>
      <c r="AC33" s="46"/>
      <c r="AD33" s="276"/>
      <c r="AE33" s="277"/>
      <c r="AF33" s="46"/>
      <c r="AG33" s="215" t="s">
        <v>528</v>
      </c>
      <c r="AH33" s="46"/>
      <c r="AI33" s="46"/>
      <c r="AJ33" s="46"/>
      <c r="AK33" s="46"/>
      <c r="AL33" s="46"/>
      <c r="AM33" s="46"/>
      <c r="AN33" s="46"/>
      <c r="AO33" s="46"/>
      <c r="AP33" s="73"/>
      <c r="AQ33" s="46"/>
      <c r="AR33" s="46"/>
      <c r="AS33" s="46"/>
      <c r="AT33" s="46"/>
      <c r="AU33" s="46"/>
      <c r="AV33" s="46"/>
      <c r="AW33" s="46"/>
      <c r="AX33" s="46"/>
      <c r="AY33" s="46"/>
      <c r="AZ33" s="46"/>
    </row>
    <row r="34" spans="1:52" ht="20.149999999999999" customHeight="1">
      <c r="A34" s="36"/>
      <c r="B34" s="194"/>
      <c r="C34" s="195"/>
      <c r="D34" s="195"/>
      <c r="E34" s="195"/>
      <c r="F34" s="195"/>
      <c r="G34" s="195"/>
      <c r="H34" s="195"/>
      <c r="I34" s="195"/>
      <c r="J34" s="195"/>
      <c r="K34" s="195"/>
      <c r="L34" s="195"/>
      <c r="M34" s="195"/>
      <c r="N34" s="195"/>
      <c r="O34" s="195"/>
      <c r="P34" s="195"/>
      <c r="Q34" s="195"/>
      <c r="R34" s="195"/>
      <c r="S34" s="195"/>
      <c r="T34" s="195"/>
      <c r="U34" s="196"/>
      <c r="V34" s="36"/>
      <c r="W34" s="46"/>
      <c r="X34" s="46"/>
      <c r="Y34" s="46"/>
      <c r="Z34" s="46"/>
      <c r="AA34" s="46"/>
      <c r="AB34" s="46"/>
      <c r="AC34" s="46"/>
      <c r="AD34" s="276"/>
      <c r="AE34" s="277"/>
      <c r="AF34" s="46"/>
      <c r="AG34" s="216" t="s">
        <v>529</v>
      </c>
      <c r="AH34" s="46"/>
      <c r="AI34" s="46"/>
      <c r="AJ34" s="46"/>
      <c r="AK34" s="46"/>
      <c r="AL34" s="46"/>
      <c r="AM34" s="46"/>
      <c r="AN34" s="46"/>
      <c r="AO34" s="46"/>
      <c r="AP34" s="73"/>
      <c r="AQ34" s="46"/>
      <c r="AR34" s="46"/>
      <c r="AS34" s="46"/>
      <c r="AT34" s="46"/>
      <c r="AU34" s="46"/>
      <c r="AV34" s="46"/>
      <c r="AW34" s="46"/>
      <c r="AX34" s="46"/>
      <c r="AY34" s="46"/>
      <c r="AZ34" s="46"/>
    </row>
    <row r="35" spans="1:52" ht="30" customHeight="1" thickBot="1">
      <c r="A35" s="36"/>
      <c r="B35" s="36"/>
      <c r="C35" s="209" t="s">
        <v>520</v>
      </c>
      <c r="D35" s="36"/>
      <c r="E35" s="36"/>
      <c r="F35" s="36"/>
      <c r="G35" s="36"/>
      <c r="H35" s="36"/>
      <c r="I35" s="36"/>
      <c r="J35" s="36"/>
      <c r="K35" s="36"/>
      <c r="L35" s="36"/>
      <c r="M35" s="36"/>
      <c r="N35" s="36"/>
      <c r="O35" s="36"/>
      <c r="P35" s="36"/>
      <c r="Q35" s="36"/>
      <c r="R35" s="36"/>
      <c r="S35" s="36"/>
      <c r="T35" s="36"/>
      <c r="U35" s="36"/>
      <c r="V35" s="36"/>
      <c r="W35" s="46"/>
      <c r="X35" s="46"/>
      <c r="Y35" s="46"/>
      <c r="Z35" s="46"/>
      <c r="AA35" s="46"/>
      <c r="AB35" s="46"/>
      <c r="AC35" s="46"/>
      <c r="AD35" s="276"/>
      <c r="AE35" s="277"/>
      <c r="AF35" s="46"/>
      <c r="AG35" s="213" t="s">
        <v>522</v>
      </c>
      <c r="AH35" s="46"/>
      <c r="AI35" s="46"/>
      <c r="AJ35" s="46"/>
      <c r="AK35" s="46"/>
      <c r="AL35" s="46"/>
      <c r="AM35" s="46"/>
      <c r="AN35" s="46"/>
      <c r="AO35" s="46"/>
      <c r="AP35" s="73"/>
      <c r="AQ35" s="46"/>
      <c r="AR35" s="46"/>
      <c r="AS35" s="46"/>
      <c r="AT35" s="46"/>
      <c r="AU35" s="46"/>
      <c r="AV35" s="46"/>
      <c r="AW35" s="46"/>
      <c r="AX35" s="46"/>
      <c r="AY35" s="46"/>
      <c r="AZ35" s="46"/>
    </row>
    <row r="36" spans="1:52" ht="30" customHeight="1" thickBot="1">
      <c r="A36" s="36"/>
      <c r="B36" s="197" t="s">
        <v>476</v>
      </c>
      <c r="C36" s="199"/>
      <c r="D36" s="187"/>
      <c r="E36" s="187"/>
      <c r="F36" s="187"/>
      <c r="G36" s="187"/>
      <c r="H36" s="187"/>
      <c r="I36" s="187"/>
      <c r="J36" s="187"/>
      <c r="K36" s="187"/>
      <c r="L36" s="187"/>
      <c r="M36" s="187"/>
      <c r="N36" s="187"/>
      <c r="O36" s="187"/>
      <c r="P36" s="187"/>
      <c r="Q36" s="187"/>
      <c r="R36" s="187"/>
      <c r="S36" s="187"/>
      <c r="T36" s="187"/>
      <c r="U36" s="198"/>
      <c r="V36" s="36"/>
      <c r="W36" s="46"/>
      <c r="X36" s="46"/>
      <c r="Y36" s="46"/>
      <c r="Z36" s="176" t="s">
        <v>470</v>
      </c>
      <c r="AA36" s="177"/>
      <c r="AB36" s="178"/>
      <c r="AC36" s="46"/>
      <c r="AD36" s="276"/>
      <c r="AE36" s="277"/>
      <c r="AF36" s="46"/>
      <c r="AG36" s="216" t="s">
        <v>530</v>
      </c>
      <c r="AH36" s="46"/>
      <c r="AI36" s="46"/>
      <c r="AJ36" s="46"/>
      <c r="AK36" s="46"/>
      <c r="AL36" s="46"/>
      <c r="AM36" s="46"/>
      <c r="AN36" s="46"/>
      <c r="AO36" s="46"/>
      <c r="AP36" s="73"/>
      <c r="AQ36" s="46"/>
      <c r="AR36" s="46"/>
      <c r="AS36" s="46"/>
      <c r="AT36" s="46"/>
      <c r="AU36" s="46"/>
      <c r="AV36" s="46"/>
      <c r="AW36" s="46"/>
      <c r="AX36" s="46"/>
      <c r="AY36" s="46"/>
      <c r="AZ36" s="46"/>
    </row>
    <row r="37" spans="1:52" ht="18" customHeight="1">
      <c r="A37" s="36"/>
      <c r="B37" s="188"/>
      <c r="C37" s="182" t="s">
        <v>469</v>
      </c>
      <c r="D37" s="36"/>
      <c r="E37" s="36"/>
      <c r="F37" s="36"/>
      <c r="G37" s="36"/>
      <c r="H37" s="36"/>
      <c r="I37" s="36"/>
      <c r="J37" s="36"/>
      <c r="K37" s="36"/>
      <c r="L37" s="36"/>
      <c r="M37" s="36"/>
      <c r="N37" s="36"/>
      <c r="O37" s="36"/>
      <c r="P37" s="36"/>
      <c r="Q37" s="36"/>
      <c r="R37" s="36"/>
      <c r="S37" s="36"/>
      <c r="T37" s="36"/>
      <c r="U37" s="189"/>
      <c r="V37" s="36"/>
      <c r="W37" s="46"/>
      <c r="X37" s="46"/>
      <c r="Y37" s="46"/>
      <c r="Z37" s="99" t="s">
        <v>97</v>
      </c>
      <c r="AA37" s="100" t="s">
        <v>93</v>
      </c>
      <c r="AB37" s="101" t="str">
        <f>IF(AND(OR(E16&lt;18,E16&gt;=60),OR(E18&lt;18,E18&gt;=60),OR(E20&lt;18,E20&gt;=60),OR(E22&lt;18,E22&gt;=60),OR(E24&lt;18,E24&gt;=60),OR(E26&lt;18,E26&gt;=60),COUNTA(E16,E18,E20,E22,E24,E26)&gt;=1),"該当","非該当")</f>
        <v>非該当</v>
      </c>
      <c r="AC37" s="46"/>
      <c r="AD37" s="276"/>
      <c r="AE37" s="277"/>
      <c r="AF37" s="46"/>
      <c r="AG37" s="213" t="s">
        <v>524</v>
      </c>
      <c r="AH37" s="46"/>
      <c r="AI37" s="46"/>
      <c r="AJ37" s="46"/>
      <c r="AK37" s="46"/>
      <c r="AL37" s="46"/>
      <c r="AM37" s="46"/>
      <c r="AN37" s="46"/>
      <c r="AO37" s="46"/>
      <c r="AP37" s="73"/>
      <c r="AQ37" s="46"/>
      <c r="AR37" s="46"/>
      <c r="AS37" s="46"/>
      <c r="AT37" s="46"/>
      <c r="AU37" s="46"/>
      <c r="AV37" s="46"/>
      <c r="AW37" s="46"/>
      <c r="AX37" s="46"/>
      <c r="AY37" s="46"/>
      <c r="AZ37" s="46"/>
    </row>
    <row r="38" spans="1:52" ht="16" customHeight="1">
      <c r="A38" s="36"/>
      <c r="B38" s="188"/>
      <c r="C38" s="183" t="s">
        <v>474</v>
      </c>
      <c r="D38" s="190" t="s">
        <v>477</v>
      </c>
      <c r="E38" s="191"/>
      <c r="F38" s="191"/>
      <c r="G38" s="36"/>
      <c r="H38" s="36"/>
      <c r="I38" s="36"/>
      <c r="J38" s="36"/>
      <c r="K38" s="36"/>
      <c r="L38" s="36"/>
      <c r="M38" s="36"/>
      <c r="N38" s="36"/>
      <c r="O38" s="36"/>
      <c r="P38" s="36"/>
      <c r="Q38" s="36"/>
      <c r="R38" s="36"/>
      <c r="S38" s="36"/>
      <c r="T38" s="36"/>
      <c r="U38" s="189"/>
      <c r="V38" s="36"/>
      <c r="W38" s="46"/>
      <c r="X38" s="46"/>
      <c r="Y38" s="46"/>
      <c r="Z38" s="102" t="s">
        <v>99</v>
      </c>
      <c r="AA38" s="31" t="s">
        <v>95</v>
      </c>
      <c r="AB38" s="103" t="s">
        <v>484</v>
      </c>
      <c r="AC38" s="46"/>
      <c r="AD38" s="276"/>
      <c r="AE38" s="277"/>
      <c r="AF38" s="46"/>
      <c r="AG38" s="216" t="s">
        <v>531</v>
      </c>
      <c r="AH38" s="46"/>
      <c r="AI38" s="46"/>
      <c r="AJ38" s="46"/>
      <c r="AK38" s="46"/>
      <c r="AL38" s="46"/>
      <c r="AM38" s="46"/>
      <c r="AN38" s="46"/>
      <c r="AO38" s="46"/>
      <c r="AP38" s="73"/>
      <c r="AQ38" s="46"/>
      <c r="AR38" s="46"/>
      <c r="AS38" s="46"/>
      <c r="AT38" s="46"/>
      <c r="AU38" s="46"/>
      <c r="AV38" s="46"/>
      <c r="AW38" s="46"/>
      <c r="AX38" s="46"/>
      <c r="AY38" s="46"/>
      <c r="AZ38" s="46"/>
    </row>
    <row r="39" spans="1:52" ht="12" customHeight="1">
      <c r="A39" s="36"/>
      <c r="B39" s="188"/>
      <c r="C39" s="36"/>
      <c r="D39" s="36"/>
      <c r="E39" s="36"/>
      <c r="F39" s="36"/>
      <c r="G39" s="36"/>
      <c r="H39" s="36"/>
      <c r="I39" s="36"/>
      <c r="J39" s="36"/>
      <c r="K39" s="36"/>
      <c r="L39" s="36"/>
      <c r="M39" s="36"/>
      <c r="N39" s="36"/>
      <c r="O39" s="36"/>
      <c r="P39" s="36"/>
      <c r="Q39" s="36"/>
      <c r="R39" s="36"/>
      <c r="S39" s="36"/>
      <c r="T39" s="36"/>
      <c r="U39" s="189"/>
      <c r="V39" s="36"/>
      <c r="W39" s="46"/>
      <c r="X39" s="46"/>
      <c r="Y39" s="46"/>
      <c r="Z39" s="102" t="s">
        <v>96</v>
      </c>
      <c r="AA39" s="31" t="s">
        <v>92</v>
      </c>
      <c r="AB39" s="103" t="str">
        <f>IF(COUNTIF($AN$16:$AN$26,"該当")&gt;=1,"該当","非該当")</f>
        <v>非該当</v>
      </c>
      <c r="AC39" s="46"/>
      <c r="AD39" s="276"/>
      <c r="AE39" s="277"/>
      <c r="AF39" s="46"/>
      <c r="AG39" s="217" t="s">
        <v>523</v>
      </c>
      <c r="AH39" s="69"/>
      <c r="AI39" s="69"/>
      <c r="AJ39" s="69"/>
      <c r="AK39" s="69"/>
      <c r="AL39" s="69"/>
      <c r="AM39" s="69"/>
      <c r="AN39" s="69"/>
      <c r="AO39" s="69"/>
      <c r="AP39" s="75"/>
      <c r="AQ39" s="46"/>
      <c r="AR39" s="46"/>
      <c r="AS39" s="46"/>
      <c r="AT39" s="46"/>
      <c r="AU39" s="46"/>
      <c r="AV39" s="46"/>
      <c r="AW39" s="46"/>
      <c r="AX39" s="46"/>
      <c r="AY39" s="46"/>
      <c r="AZ39" s="46"/>
    </row>
    <row r="40" spans="1:52" ht="32.25" customHeight="1">
      <c r="A40" s="36"/>
      <c r="B40" s="188"/>
      <c r="C40" s="249" t="s">
        <v>106</v>
      </c>
      <c r="D40" s="249"/>
      <c r="E40" s="249"/>
      <c r="F40" s="249"/>
      <c r="G40" s="249"/>
      <c r="H40" s="249"/>
      <c r="I40" s="249"/>
      <c r="J40" s="249"/>
      <c r="K40" s="249"/>
      <c r="L40" s="249"/>
      <c r="M40" s="181"/>
      <c r="N40" s="36"/>
      <c r="O40" s="36"/>
      <c r="P40" s="36"/>
      <c r="Q40" s="36"/>
      <c r="R40" s="36"/>
      <c r="S40" s="36"/>
      <c r="T40" s="36"/>
      <c r="U40" s="189"/>
      <c r="V40" s="36"/>
      <c r="W40" s="46"/>
      <c r="X40" s="46"/>
      <c r="Y40" s="46"/>
      <c r="Z40" s="102" t="s">
        <v>98</v>
      </c>
      <c r="AA40" s="31" t="s">
        <v>94</v>
      </c>
      <c r="AB40" s="103" t="str">
        <f>IF($M$40="○(いる)","該当","非該当")</f>
        <v>非該当</v>
      </c>
      <c r="AC40" s="46"/>
      <c r="AD40" s="276"/>
      <c r="AE40" s="277"/>
      <c r="AF40" s="46"/>
      <c r="AG40" s="46"/>
      <c r="AH40" s="46"/>
      <c r="AI40" s="46"/>
      <c r="AJ40" s="46"/>
      <c r="AK40" s="46"/>
      <c r="AL40" s="46"/>
      <c r="AM40" s="46"/>
      <c r="AN40" s="46"/>
      <c r="AO40" s="46"/>
      <c r="AP40" s="46"/>
      <c r="AQ40" s="46"/>
      <c r="AR40" s="46"/>
      <c r="AS40" s="46"/>
      <c r="AT40" s="46"/>
      <c r="AU40" s="46"/>
      <c r="AV40" s="46"/>
      <c r="AW40" s="46"/>
      <c r="AX40" s="46"/>
      <c r="AY40" s="46"/>
      <c r="AZ40" s="46"/>
    </row>
    <row r="41" spans="1:52" ht="114.75" customHeight="1">
      <c r="A41" s="36"/>
      <c r="B41" s="188"/>
      <c r="C41" s="249" t="s">
        <v>107</v>
      </c>
      <c r="D41" s="249"/>
      <c r="E41" s="249"/>
      <c r="F41" s="249"/>
      <c r="G41" s="249"/>
      <c r="H41" s="249"/>
      <c r="I41" s="249"/>
      <c r="J41" s="249"/>
      <c r="K41" s="249"/>
      <c r="L41" s="249"/>
      <c r="M41" s="181"/>
      <c r="N41" s="36"/>
      <c r="O41" s="36"/>
      <c r="P41" s="36"/>
      <c r="Q41" s="36"/>
      <c r="R41" s="36"/>
      <c r="S41" s="36"/>
      <c r="T41" s="36"/>
      <c r="U41" s="189"/>
      <c r="V41" s="36"/>
      <c r="W41" s="46"/>
      <c r="X41" s="46"/>
      <c r="Y41" s="46"/>
      <c r="Z41" s="102" t="s">
        <v>104</v>
      </c>
      <c r="AA41" s="31" t="s">
        <v>105</v>
      </c>
      <c r="AB41" s="103" t="str">
        <f>IF($M$41="○(いる)","該当","非該当")</f>
        <v>非該当</v>
      </c>
      <c r="AC41" s="46"/>
      <c r="AD41" s="276"/>
      <c r="AE41" s="277"/>
      <c r="AF41" s="46"/>
      <c r="AG41" s="46"/>
      <c r="AH41" s="46"/>
      <c r="AI41" s="46"/>
      <c r="AJ41" s="46"/>
      <c r="AK41" s="46"/>
      <c r="AL41" s="46"/>
      <c r="AM41" s="46"/>
      <c r="AN41" s="46"/>
      <c r="AO41" s="46"/>
      <c r="AP41" s="46"/>
      <c r="AQ41" s="46"/>
      <c r="AR41" s="46"/>
      <c r="AS41" s="46"/>
      <c r="AT41" s="46"/>
      <c r="AU41" s="46"/>
      <c r="AV41" s="46"/>
      <c r="AW41" s="46"/>
      <c r="AX41" s="46"/>
      <c r="AY41" s="46"/>
      <c r="AZ41" s="46"/>
    </row>
    <row r="42" spans="1:52" ht="30" customHeight="1">
      <c r="A42" s="36"/>
      <c r="B42" s="194"/>
      <c r="C42" s="200"/>
      <c r="D42" s="200"/>
      <c r="E42" s="200"/>
      <c r="F42" s="200"/>
      <c r="G42" s="200"/>
      <c r="H42" s="200"/>
      <c r="I42" s="200"/>
      <c r="J42" s="200"/>
      <c r="K42" s="200"/>
      <c r="L42" s="200"/>
      <c r="M42" s="195"/>
      <c r="N42" s="195"/>
      <c r="O42" s="195"/>
      <c r="P42" s="195"/>
      <c r="Q42" s="195"/>
      <c r="R42" s="195"/>
      <c r="S42" s="195"/>
      <c r="T42" s="195"/>
      <c r="U42" s="196"/>
      <c r="V42" s="36"/>
      <c r="W42" s="46"/>
      <c r="X42" s="46"/>
      <c r="Y42" s="46"/>
      <c r="Z42" s="106"/>
      <c r="AA42" s="108"/>
      <c r="AB42" s="109"/>
      <c r="AC42" s="46"/>
      <c r="AD42" s="276"/>
      <c r="AE42" s="277"/>
      <c r="AF42" s="46"/>
      <c r="AG42" s="46"/>
      <c r="AH42" s="46"/>
      <c r="AI42" s="46"/>
      <c r="AJ42" s="46"/>
      <c r="AK42" s="46"/>
      <c r="AL42" s="46"/>
      <c r="AM42" s="46"/>
      <c r="AN42" s="46"/>
      <c r="AO42" s="46"/>
      <c r="AP42" s="46"/>
      <c r="AQ42" s="46"/>
      <c r="AR42" s="46"/>
      <c r="AS42" s="46"/>
      <c r="AT42" s="46"/>
      <c r="AU42" s="46"/>
      <c r="AV42" s="46"/>
      <c r="AW42" s="46"/>
      <c r="AX42" s="46"/>
      <c r="AY42" s="46"/>
      <c r="AZ42" s="46"/>
    </row>
    <row r="43" spans="1:52" ht="30" customHeight="1" thickBot="1">
      <c r="A43" s="36"/>
      <c r="B43" s="36"/>
      <c r="C43" s="209" t="s">
        <v>520</v>
      </c>
      <c r="D43" s="36"/>
      <c r="E43" s="36"/>
      <c r="F43" s="36"/>
      <c r="G43" s="36"/>
      <c r="H43" s="36"/>
      <c r="I43" s="36"/>
      <c r="J43" s="36"/>
      <c r="K43" s="36"/>
      <c r="L43" s="36"/>
      <c r="M43" s="36"/>
      <c r="N43" s="36"/>
      <c r="O43" s="36"/>
      <c r="P43" s="36"/>
      <c r="Q43" s="36"/>
      <c r="R43" s="36"/>
      <c r="S43" s="36"/>
      <c r="T43" s="36"/>
      <c r="U43" s="36"/>
      <c r="V43" s="36"/>
      <c r="W43" s="46"/>
      <c r="X43" s="46"/>
      <c r="Y43" s="46"/>
      <c r="Z43" s="107"/>
      <c r="AA43" s="104" t="s">
        <v>110</v>
      </c>
      <c r="AB43" s="105" t="str">
        <f>IF(COUNTIF($AB$37:$AB$41,"該当")&gt;=1,"該当","非該当")</f>
        <v>非該当</v>
      </c>
      <c r="AC43" s="46"/>
      <c r="AD43" s="278"/>
      <c r="AE43" s="279"/>
      <c r="AF43" s="46"/>
      <c r="AG43" s="46"/>
      <c r="AH43" s="46"/>
      <c r="AI43" s="46"/>
      <c r="AJ43" s="46"/>
      <c r="AK43" s="46"/>
      <c r="AL43" s="46"/>
      <c r="AM43" s="46"/>
      <c r="AN43" s="46"/>
      <c r="AO43" s="46"/>
      <c r="AP43" s="46"/>
      <c r="AQ43" s="46"/>
      <c r="AR43" s="46"/>
      <c r="AS43" s="46"/>
      <c r="AT43" s="46"/>
      <c r="AU43" s="46"/>
      <c r="AV43" s="46"/>
      <c r="AW43" s="46"/>
      <c r="AX43" s="46"/>
      <c r="AY43" s="46"/>
      <c r="AZ43" s="46"/>
    </row>
    <row r="44" spans="1:52" ht="30" customHeight="1">
      <c r="A44" s="36"/>
      <c r="B44" s="197" t="s">
        <v>478</v>
      </c>
      <c r="C44" s="199"/>
      <c r="D44" s="187"/>
      <c r="E44" s="187"/>
      <c r="F44" s="187"/>
      <c r="G44" s="187"/>
      <c r="H44" s="187"/>
      <c r="I44" s="187"/>
      <c r="J44" s="187"/>
      <c r="K44" s="187"/>
      <c r="L44" s="187"/>
      <c r="M44" s="187"/>
      <c r="N44" s="187"/>
      <c r="O44" s="187"/>
      <c r="P44" s="187"/>
      <c r="Q44" s="187"/>
      <c r="R44" s="187"/>
      <c r="S44" s="187"/>
      <c r="T44" s="187"/>
      <c r="U44" s="198"/>
      <c r="V44" s="36"/>
      <c r="W44" s="46"/>
      <c r="X44" s="46"/>
      <c r="Y44" s="46"/>
      <c r="Z44" s="50"/>
      <c r="AA44" s="50"/>
      <c r="AB44" s="50"/>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row>
    <row r="45" spans="1:52" ht="18" customHeight="1">
      <c r="A45" s="36"/>
      <c r="B45" s="188"/>
      <c r="C45" s="182" t="s">
        <v>535</v>
      </c>
      <c r="D45" s="36"/>
      <c r="E45" s="36"/>
      <c r="F45" s="36"/>
      <c r="G45" s="36"/>
      <c r="H45" s="36"/>
      <c r="I45" s="36"/>
      <c r="J45" s="36"/>
      <c r="K45" s="36"/>
      <c r="L45" s="36"/>
      <c r="M45" s="36"/>
      <c r="N45" s="36"/>
      <c r="O45" s="36"/>
      <c r="P45" s="36"/>
      <c r="Q45" s="36"/>
      <c r="R45" s="36"/>
      <c r="S45" s="36"/>
      <c r="T45" s="36"/>
      <c r="U45" s="189"/>
      <c r="V45" s="36"/>
      <c r="W45" s="46"/>
      <c r="X45" s="46"/>
      <c r="Y45" s="46"/>
      <c r="Z45" s="46"/>
      <c r="AA45" s="50"/>
      <c r="AB45" s="50"/>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row>
    <row r="46" spans="1:52" ht="16" customHeight="1">
      <c r="A46" s="36"/>
      <c r="B46" s="188"/>
      <c r="C46" s="184" t="s">
        <v>471</v>
      </c>
      <c r="D46" s="190" t="s">
        <v>479</v>
      </c>
      <c r="E46" s="191"/>
      <c r="F46" s="191"/>
      <c r="G46" s="36"/>
      <c r="H46" s="36"/>
      <c r="I46" s="36"/>
      <c r="J46" s="36"/>
      <c r="K46" s="36"/>
      <c r="L46" s="36"/>
      <c r="M46" s="36"/>
      <c r="N46" s="36"/>
      <c r="O46" s="36"/>
      <c r="P46" s="36"/>
      <c r="Q46" s="36"/>
      <c r="R46" s="36"/>
      <c r="S46" s="36"/>
      <c r="T46" s="36"/>
      <c r="U46" s="189"/>
      <c r="V46" s="36"/>
      <c r="W46" s="46"/>
      <c r="X46" s="46"/>
      <c r="Y46" s="46"/>
      <c r="Z46" s="46"/>
      <c r="AA46" s="50"/>
      <c r="AB46" s="50"/>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row>
    <row r="47" spans="1:52" ht="12" customHeight="1">
      <c r="A47" s="36"/>
      <c r="B47" s="188"/>
      <c r="C47" s="36"/>
      <c r="D47" s="36"/>
      <c r="E47" s="36"/>
      <c r="F47" s="36"/>
      <c r="G47" s="36"/>
      <c r="H47" s="36"/>
      <c r="I47" s="36"/>
      <c r="J47" s="36"/>
      <c r="K47" s="36"/>
      <c r="L47" s="36"/>
      <c r="M47" s="36"/>
      <c r="N47" s="36"/>
      <c r="O47" s="36"/>
      <c r="P47" s="36"/>
      <c r="Q47" s="36"/>
      <c r="R47" s="36"/>
      <c r="S47" s="36"/>
      <c r="T47" s="36"/>
      <c r="U47" s="189"/>
      <c r="V47" s="36"/>
      <c r="W47" s="46"/>
      <c r="X47" s="46"/>
      <c r="Y47" s="46"/>
      <c r="Z47" s="46"/>
      <c r="AA47" s="46"/>
      <c r="AB47" s="50"/>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row>
    <row r="48" spans="1:52" ht="24" customHeight="1">
      <c r="A48" s="36"/>
      <c r="B48" s="188"/>
      <c r="C48" s="201" t="s">
        <v>83</v>
      </c>
      <c r="D48" s="202"/>
      <c r="E48" s="202"/>
      <c r="F48" s="202"/>
      <c r="G48" s="202"/>
      <c r="H48" s="202"/>
      <c r="I48" s="202"/>
      <c r="J48" s="202"/>
      <c r="K48" s="202"/>
      <c r="L48" s="203"/>
      <c r="M48" s="85"/>
      <c r="N48" s="64" t="s">
        <v>64</v>
      </c>
      <c r="O48" s="36"/>
      <c r="P48" s="36"/>
      <c r="Q48" s="36"/>
      <c r="R48" s="36"/>
      <c r="S48" s="36"/>
      <c r="T48" s="36"/>
      <c r="U48" s="189"/>
      <c r="V48" s="36"/>
      <c r="W48" s="46"/>
      <c r="X48" s="39" t="s">
        <v>67</v>
      </c>
      <c r="Y48" s="40"/>
      <c r="Z48" s="41"/>
      <c r="AA48" s="51">
        <f>$M$48*100000</f>
        <v>0</v>
      </c>
      <c r="AB48" s="56" t="s">
        <v>71</v>
      </c>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row>
    <row r="49" spans="1:52" ht="10" customHeight="1">
      <c r="A49" s="36"/>
      <c r="B49" s="188"/>
      <c r="C49" s="37"/>
      <c r="D49" s="36"/>
      <c r="E49" s="36"/>
      <c r="F49" s="36"/>
      <c r="G49" s="36"/>
      <c r="H49" s="36"/>
      <c r="I49" s="36"/>
      <c r="J49" s="36"/>
      <c r="K49" s="36"/>
      <c r="L49" s="36"/>
      <c r="M49" s="36"/>
      <c r="N49" s="84"/>
      <c r="O49" s="36"/>
      <c r="P49" s="36"/>
      <c r="Q49" s="36"/>
      <c r="R49" s="36"/>
      <c r="S49" s="36"/>
      <c r="T49" s="36"/>
      <c r="U49" s="189"/>
      <c r="V49" s="36"/>
      <c r="W49" s="46"/>
      <c r="X49" s="46"/>
      <c r="Y49" s="46"/>
      <c r="Z49" s="46"/>
      <c r="AA49" s="46"/>
      <c r="AB49" s="5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row>
    <row r="50" spans="1:52" ht="24" customHeight="1">
      <c r="A50" s="36"/>
      <c r="B50" s="188"/>
      <c r="C50" s="201" t="s">
        <v>543</v>
      </c>
      <c r="D50" s="202"/>
      <c r="E50" s="202"/>
      <c r="F50" s="202"/>
      <c r="G50" s="202"/>
      <c r="H50" s="202"/>
      <c r="I50" s="202"/>
      <c r="J50" s="202"/>
      <c r="K50" s="202"/>
      <c r="L50" s="203"/>
      <c r="M50" s="85"/>
      <c r="N50" s="64" t="s">
        <v>64</v>
      </c>
      <c r="O50" s="36"/>
      <c r="P50" s="36"/>
      <c r="Q50" s="36"/>
      <c r="R50" s="36"/>
      <c r="S50" s="36"/>
      <c r="T50" s="36"/>
      <c r="U50" s="189"/>
      <c r="V50" s="36"/>
      <c r="W50" s="46"/>
      <c r="X50" s="39" t="s">
        <v>68</v>
      </c>
      <c r="Y50" s="40"/>
      <c r="Z50" s="41"/>
      <c r="AA50" s="51">
        <f>$M$50*250000</f>
        <v>0</v>
      </c>
      <c r="AB50" s="56" t="s">
        <v>72</v>
      </c>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row>
    <row r="51" spans="1:52" ht="10" customHeight="1">
      <c r="A51" s="36"/>
      <c r="B51" s="188"/>
      <c r="C51" s="37"/>
      <c r="D51" s="36"/>
      <c r="E51" s="36"/>
      <c r="F51" s="36"/>
      <c r="G51" s="36"/>
      <c r="H51" s="36"/>
      <c r="I51" s="36"/>
      <c r="J51" s="36"/>
      <c r="K51" s="36"/>
      <c r="L51" s="36"/>
      <c r="M51" s="36"/>
      <c r="N51" s="84"/>
      <c r="O51" s="36"/>
      <c r="P51" s="36"/>
      <c r="Q51" s="36"/>
      <c r="R51" s="36"/>
      <c r="S51" s="36"/>
      <c r="T51" s="36"/>
      <c r="U51" s="189"/>
      <c r="V51" s="36"/>
      <c r="W51" s="46"/>
      <c r="X51" s="46"/>
      <c r="Y51" s="46"/>
      <c r="Z51" s="46"/>
      <c r="AA51" s="46"/>
      <c r="AB51" s="5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row>
    <row r="52" spans="1:52" ht="24" customHeight="1">
      <c r="A52" s="36"/>
      <c r="B52" s="188"/>
      <c r="C52" s="201" t="s">
        <v>544</v>
      </c>
      <c r="D52" s="202"/>
      <c r="E52" s="202"/>
      <c r="F52" s="202"/>
      <c r="G52" s="202"/>
      <c r="H52" s="202"/>
      <c r="I52" s="202"/>
      <c r="J52" s="202"/>
      <c r="K52" s="202"/>
      <c r="L52" s="203"/>
      <c r="M52" s="85"/>
      <c r="N52" s="64" t="s">
        <v>64</v>
      </c>
      <c r="O52" s="36"/>
      <c r="P52" s="36"/>
      <c r="Q52" s="36"/>
      <c r="R52" s="36"/>
      <c r="S52" s="36"/>
      <c r="T52" s="36"/>
      <c r="U52" s="189"/>
      <c r="V52" s="3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row>
    <row r="53" spans="1:52" ht="10" customHeight="1">
      <c r="A53" s="36"/>
      <c r="B53" s="188"/>
      <c r="C53" s="37"/>
      <c r="D53" s="36"/>
      <c r="E53" s="36"/>
      <c r="F53" s="36"/>
      <c r="G53" s="36"/>
      <c r="H53" s="36"/>
      <c r="I53" s="36"/>
      <c r="J53" s="36"/>
      <c r="K53" s="36"/>
      <c r="L53" s="36"/>
      <c r="M53" s="36"/>
      <c r="N53" s="84"/>
      <c r="O53" s="36"/>
      <c r="P53" s="36"/>
      <c r="Q53" s="36"/>
      <c r="R53" s="36"/>
      <c r="S53" s="36"/>
      <c r="T53" s="36"/>
      <c r="U53" s="189"/>
      <c r="V53" s="36"/>
      <c r="W53" s="46"/>
      <c r="X53" s="46"/>
      <c r="Y53" s="46"/>
      <c r="Z53" s="46"/>
      <c r="AA53" s="46"/>
      <c r="AB53" s="5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row>
    <row r="54" spans="1:52" ht="24" customHeight="1">
      <c r="A54" s="36"/>
      <c r="B54" s="188"/>
      <c r="C54" s="201" t="s">
        <v>537</v>
      </c>
      <c r="D54" s="202"/>
      <c r="E54" s="202"/>
      <c r="F54" s="202"/>
      <c r="G54" s="202"/>
      <c r="H54" s="202"/>
      <c r="I54" s="202"/>
      <c r="J54" s="202"/>
      <c r="K54" s="202"/>
      <c r="L54" s="203"/>
      <c r="M54" s="85"/>
      <c r="N54" s="64" t="s">
        <v>64</v>
      </c>
      <c r="O54" s="36"/>
      <c r="P54" s="36"/>
      <c r="Q54" s="36"/>
      <c r="R54" s="36"/>
      <c r="S54" s="36"/>
      <c r="T54" s="36"/>
      <c r="U54" s="189"/>
      <c r="V54" s="36"/>
      <c r="W54" s="46"/>
      <c r="X54" s="39" t="s">
        <v>66</v>
      </c>
      <c r="Y54" s="40"/>
      <c r="Z54" s="41"/>
      <c r="AA54" s="51">
        <f>$M$54*380000</f>
        <v>0</v>
      </c>
      <c r="AB54" s="56" t="s">
        <v>70</v>
      </c>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row>
    <row r="55" spans="1:52" ht="10" customHeight="1">
      <c r="A55" s="36"/>
      <c r="B55" s="188"/>
      <c r="C55" s="37"/>
      <c r="D55" s="36"/>
      <c r="E55" s="36"/>
      <c r="F55" s="36"/>
      <c r="G55" s="36"/>
      <c r="H55" s="36"/>
      <c r="I55" s="36"/>
      <c r="J55" s="36"/>
      <c r="K55" s="36"/>
      <c r="L55" s="36"/>
      <c r="M55" s="36"/>
      <c r="N55" s="84"/>
      <c r="O55" s="36"/>
      <c r="P55" s="36"/>
      <c r="Q55" s="36"/>
      <c r="R55" s="36"/>
      <c r="S55" s="36"/>
      <c r="T55" s="36"/>
      <c r="U55" s="189"/>
      <c r="V55" s="36"/>
      <c r="W55" s="46"/>
      <c r="X55" s="46"/>
      <c r="Y55" s="46"/>
      <c r="Z55" s="46"/>
      <c r="AA55" s="46"/>
      <c r="AB55" s="5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row>
    <row r="56" spans="1:52" ht="24" customHeight="1">
      <c r="A56" s="36"/>
      <c r="B56" s="188"/>
      <c r="C56" s="201" t="s">
        <v>536</v>
      </c>
      <c r="D56" s="202"/>
      <c r="E56" s="202"/>
      <c r="F56" s="202"/>
      <c r="G56" s="202"/>
      <c r="H56" s="202"/>
      <c r="I56" s="202"/>
      <c r="J56" s="202"/>
      <c r="K56" s="202"/>
      <c r="L56" s="203"/>
      <c r="M56" s="85"/>
      <c r="N56" s="64" t="s">
        <v>64</v>
      </c>
      <c r="O56" s="36"/>
      <c r="P56" s="36"/>
      <c r="Q56" s="36"/>
      <c r="R56" s="36"/>
      <c r="S56" s="36"/>
      <c r="T56" s="36"/>
      <c r="U56" s="189"/>
      <c r="V56" s="36"/>
      <c r="W56" s="46"/>
      <c r="X56" s="39" t="s">
        <v>75</v>
      </c>
      <c r="Y56" s="40"/>
      <c r="Z56" s="41"/>
      <c r="AA56" s="51">
        <f>$M$56*270000</f>
        <v>0</v>
      </c>
      <c r="AB56" s="56" t="s">
        <v>73</v>
      </c>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row>
    <row r="57" spans="1:52" ht="10" customHeight="1">
      <c r="A57" s="36"/>
      <c r="B57" s="188"/>
      <c r="C57" s="37"/>
      <c r="D57" s="36"/>
      <c r="E57" s="36"/>
      <c r="F57" s="36"/>
      <c r="G57" s="36"/>
      <c r="H57" s="36"/>
      <c r="I57" s="36"/>
      <c r="J57" s="36"/>
      <c r="K57" s="36"/>
      <c r="L57" s="36"/>
      <c r="M57" s="36"/>
      <c r="N57" s="84"/>
      <c r="O57" s="36"/>
      <c r="P57" s="36"/>
      <c r="Q57" s="36"/>
      <c r="R57" s="36"/>
      <c r="S57" s="36"/>
      <c r="T57" s="36"/>
      <c r="U57" s="189"/>
      <c r="V57" s="36"/>
      <c r="W57" s="46"/>
      <c r="X57" s="46"/>
      <c r="Y57" s="46"/>
      <c r="Z57" s="46"/>
      <c r="AA57" s="46"/>
      <c r="AB57" s="5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row>
    <row r="58" spans="1:52" ht="24" customHeight="1">
      <c r="A58" s="36"/>
      <c r="B58" s="188"/>
      <c r="C58" s="201" t="s">
        <v>538</v>
      </c>
      <c r="D58" s="202"/>
      <c r="E58" s="202"/>
      <c r="F58" s="202"/>
      <c r="G58" s="202"/>
      <c r="H58" s="202"/>
      <c r="I58" s="202"/>
      <c r="J58" s="202"/>
      <c r="K58" s="202"/>
      <c r="L58" s="203"/>
      <c r="M58" s="85"/>
      <c r="N58" s="64" t="s">
        <v>64</v>
      </c>
      <c r="O58" s="36"/>
      <c r="P58" s="36"/>
      <c r="Q58" s="36"/>
      <c r="R58" s="36"/>
      <c r="S58" s="36"/>
      <c r="T58" s="36"/>
      <c r="U58" s="189"/>
      <c r="V58" s="36"/>
      <c r="W58" s="46"/>
      <c r="X58" s="39" t="s">
        <v>76</v>
      </c>
      <c r="Y58" s="40"/>
      <c r="Z58" s="41"/>
      <c r="AA58" s="51">
        <f>$M$58*400000</f>
        <v>0</v>
      </c>
      <c r="AB58" s="56" t="s">
        <v>74</v>
      </c>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row>
    <row r="59" spans="1:52" ht="12" customHeight="1">
      <c r="A59" s="36"/>
      <c r="B59" s="188"/>
      <c r="C59" s="83"/>
      <c r="D59" s="36"/>
      <c r="E59" s="36"/>
      <c r="F59" s="36"/>
      <c r="G59" s="36"/>
      <c r="H59" s="36"/>
      <c r="I59" s="36"/>
      <c r="J59" s="36"/>
      <c r="K59" s="36"/>
      <c r="L59" s="36"/>
      <c r="M59" s="36"/>
      <c r="N59" s="36"/>
      <c r="O59" s="36"/>
      <c r="P59" s="36"/>
      <c r="Q59" s="36"/>
      <c r="R59" s="36"/>
      <c r="S59" s="36"/>
      <c r="T59" s="36"/>
      <c r="U59" s="189"/>
      <c r="V59" s="36"/>
      <c r="W59" s="46"/>
      <c r="X59" s="46"/>
      <c r="Y59" s="46"/>
      <c r="Z59" s="46"/>
      <c r="AA59" s="46"/>
      <c r="AB59" s="50"/>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row>
    <row r="60" spans="1:52" ht="61.5" customHeight="1">
      <c r="A60" s="36"/>
      <c r="B60" s="194"/>
      <c r="C60" s="195"/>
      <c r="D60" s="195"/>
      <c r="E60" s="195"/>
      <c r="F60" s="195"/>
      <c r="G60" s="195"/>
      <c r="H60" s="195"/>
      <c r="I60" s="195"/>
      <c r="J60" s="195"/>
      <c r="K60" s="195"/>
      <c r="L60" s="195"/>
      <c r="M60" s="195"/>
      <c r="N60" s="195"/>
      <c r="O60" s="195"/>
      <c r="P60" s="195"/>
      <c r="Q60" s="195"/>
      <c r="R60" s="195"/>
      <c r="S60" s="195"/>
      <c r="T60" s="195"/>
      <c r="U60" s="196"/>
      <c r="V60" s="36"/>
      <c r="W60" s="46"/>
      <c r="X60" s="52" t="s">
        <v>82</v>
      </c>
      <c r="Y60" s="53"/>
      <c r="Z60" s="54"/>
      <c r="AA60" s="51">
        <f ca="1">SUM($AG$16:$AL$16,$AG$18:$AL$18,$AG$20:$AL$20,$AG$22:$AL$22,$AG$24:$AL$24,$AG$26:$AL$26,$AA$48,$AA$50,$AA$54,$AA$56,$AA$58)</f>
        <v>0</v>
      </c>
      <c r="AB60" s="50"/>
      <c r="AC60" s="46"/>
      <c r="AD60" s="95" t="s">
        <v>128</v>
      </c>
      <c r="AE60" s="95" t="s">
        <v>129</v>
      </c>
      <c r="AF60" s="96"/>
      <c r="AG60" s="95" t="s">
        <v>127</v>
      </c>
      <c r="AH60" s="95" t="s">
        <v>130</v>
      </c>
      <c r="AI60" s="95" t="s">
        <v>131</v>
      </c>
      <c r="AJ60" s="46"/>
      <c r="AK60" s="46"/>
      <c r="AL60" s="46"/>
      <c r="AM60" s="46"/>
      <c r="AN60" s="46"/>
      <c r="AO60" s="46"/>
      <c r="AP60" s="46"/>
      <c r="AQ60" s="46"/>
      <c r="AR60" s="46"/>
      <c r="AS60" s="46"/>
      <c r="AT60" s="46"/>
      <c r="AU60" s="46"/>
      <c r="AV60" s="46"/>
      <c r="AW60" s="46"/>
      <c r="AX60" s="46"/>
      <c r="AY60" s="46"/>
      <c r="AZ60" s="46"/>
    </row>
    <row r="61" spans="1:52" ht="30" customHeight="1">
      <c r="A61" s="36"/>
      <c r="B61" s="36"/>
      <c r="C61" s="209" t="s">
        <v>520</v>
      </c>
      <c r="D61" s="36"/>
      <c r="E61" s="36"/>
      <c r="F61" s="36"/>
      <c r="G61" s="36"/>
      <c r="H61" s="36"/>
      <c r="I61" s="36"/>
      <c r="J61" s="36"/>
      <c r="K61" s="36"/>
      <c r="L61" s="36"/>
      <c r="M61" s="36"/>
      <c r="N61" s="36"/>
      <c r="O61" s="36"/>
      <c r="P61" s="36"/>
      <c r="Q61" s="36"/>
      <c r="R61" s="36"/>
      <c r="S61" s="36"/>
      <c r="T61" s="36"/>
      <c r="U61" s="36"/>
      <c r="V61" s="36"/>
      <c r="W61" s="46"/>
      <c r="X61" s="46"/>
      <c r="Y61" s="46"/>
      <c r="Z61" s="46"/>
      <c r="AA61" s="46"/>
      <c r="AB61" s="50"/>
      <c r="AC61" s="46"/>
      <c r="AD61" s="38">
        <v>0</v>
      </c>
      <c r="AE61" s="38">
        <v>104000</v>
      </c>
      <c r="AF61" s="46"/>
      <c r="AG61" s="38">
        <v>34400</v>
      </c>
      <c r="AH61" s="24" t="str">
        <f ca="1">IF(AND($AA$62&lt;=$AE61),"●","")</f>
        <v>●</v>
      </c>
      <c r="AI61" s="24" t="s">
        <v>132</v>
      </c>
      <c r="AJ61" s="46"/>
      <c r="AK61" s="46"/>
      <c r="AL61" s="46"/>
      <c r="AM61" s="46"/>
      <c r="AN61" s="46"/>
      <c r="AO61" s="46"/>
      <c r="AP61" s="46"/>
      <c r="AQ61" s="46"/>
      <c r="AR61" s="46"/>
      <c r="AS61" s="46"/>
      <c r="AT61" s="46"/>
      <c r="AU61" s="46"/>
      <c r="AV61" s="46"/>
      <c r="AW61" s="46"/>
      <c r="AX61" s="46"/>
      <c r="AY61" s="46"/>
      <c r="AZ61" s="46"/>
    </row>
    <row r="62" spans="1:52" ht="30" customHeight="1">
      <c r="A62" s="36"/>
      <c r="B62" s="197" t="s">
        <v>480</v>
      </c>
      <c r="C62" s="187"/>
      <c r="D62" s="187"/>
      <c r="E62" s="199"/>
      <c r="F62" s="187"/>
      <c r="G62" s="187"/>
      <c r="H62" s="187"/>
      <c r="I62" s="187"/>
      <c r="J62" s="187"/>
      <c r="K62" s="187"/>
      <c r="L62" s="187"/>
      <c r="M62" s="187"/>
      <c r="N62" s="187"/>
      <c r="O62" s="187"/>
      <c r="P62" s="187"/>
      <c r="Q62" s="187"/>
      <c r="R62" s="187"/>
      <c r="S62" s="187"/>
      <c r="T62" s="187"/>
      <c r="U62" s="198"/>
      <c r="V62" s="36"/>
      <c r="W62" s="46"/>
      <c r="X62" s="52" t="s">
        <v>91</v>
      </c>
      <c r="Y62" s="53"/>
      <c r="Z62" s="54"/>
      <c r="AA62" s="51">
        <f ca="1">IF($AA$29-$AA$60&gt;0,($AA$29-$AA$60)/12,0)</f>
        <v>0</v>
      </c>
      <c r="AB62" s="50"/>
      <c r="AC62" s="46"/>
      <c r="AD62" s="38">
        <f>AE61+1</f>
        <v>104001</v>
      </c>
      <c r="AE62" s="38">
        <v>123000</v>
      </c>
      <c r="AF62" s="46"/>
      <c r="AG62" s="38">
        <v>39700</v>
      </c>
      <c r="AH62" s="24" t="str">
        <f t="shared" ref="AH62:AH67" ca="1" si="0">IF(AND($AA$62&gt;$AD62,$AA$62&lt;=$AE62),"●","")</f>
        <v/>
      </c>
      <c r="AI62" s="24" t="s">
        <v>133</v>
      </c>
      <c r="AJ62" s="46"/>
      <c r="AK62" s="46"/>
      <c r="AL62" s="46"/>
      <c r="AM62" s="46"/>
      <c r="AN62" s="46"/>
      <c r="AO62" s="46"/>
      <c r="AP62" s="46"/>
      <c r="AQ62" s="46"/>
      <c r="AR62" s="46"/>
      <c r="AS62" s="46"/>
      <c r="AT62" s="46"/>
      <c r="AU62" s="46"/>
      <c r="AV62" s="46"/>
      <c r="AW62" s="46"/>
      <c r="AX62" s="46"/>
      <c r="AY62" s="46"/>
      <c r="AZ62" s="46"/>
    </row>
    <row r="63" spans="1:52" ht="18" customHeight="1">
      <c r="A63" s="36"/>
      <c r="B63" s="188"/>
      <c r="C63" s="83" t="s">
        <v>483</v>
      </c>
      <c r="D63" s="36"/>
      <c r="E63" s="36"/>
      <c r="F63" s="36"/>
      <c r="G63" s="36"/>
      <c r="H63" s="36"/>
      <c r="I63" s="36"/>
      <c r="J63" s="36"/>
      <c r="K63" s="36"/>
      <c r="L63" s="36"/>
      <c r="M63" s="36"/>
      <c r="N63" s="36"/>
      <c r="O63" s="36"/>
      <c r="P63" s="36"/>
      <c r="Q63" s="36"/>
      <c r="R63" s="36"/>
      <c r="S63" s="36"/>
      <c r="T63" s="36"/>
      <c r="U63" s="189"/>
      <c r="V63" s="36"/>
      <c r="W63" s="46"/>
      <c r="X63" s="46"/>
      <c r="Y63" s="46"/>
      <c r="Z63" s="46"/>
      <c r="AA63" s="46"/>
      <c r="AB63" s="50"/>
      <c r="AC63" s="46"/>
      <c r="AD63" s="38">
        <f t="shared" ref="AD63:AD68" si="1">AE62+1</f>
        <v>123001</v>
      </c>
      <c r="AE63" s="38">
        <v>139000</v>
      </c>
      <c r="AF63" s="46"/>
      <c r="AG63" s="38">
        <v>45400</v>
      </c>
      <c r="AH63" s="24" t="str">
        <f t="shared" ca="1" si="0"/>
        <v/>
      </c>
      <c r="AI63" s="24" t="s">
        <v>134</v>
      </c>
      <c r="AJ63" s="46"/>
      <c r="AK63" s="50" t="s">
        <v>490</v>
      </c>
      <c r="AL63" s="46"/>
      <c r="AM63" s="46"/>
      <c r="AN63" s="46"/>
      <c r="AO63" s="46"/>
      <c r="AP63" s="46"/>
      <c r="AQ63" s="46"/>
      <c r="AR63" s="46"/>
      <c r="AS63" s="46"/>
      <c r="AT63" s="46"/>
      <c r="AU63" s="46"/>
      <c r="AV63" s="46"/>
      <c r="AW63" s="46"/>
      <c r="AX63" s="46"/>
      <c r="AY63" s="46"/>
      <c r="AZ63" s="46"/>
    </row>
    <row r="64" spans="1:52" ht="16" customHeight="1">
      <c r="A64" s="36"/>
      <c r="B64" s="188"/>
      <c r="C64" s="183" t="s">
        <v>474</v>
      </c>
      <c r="D64" s="190" t="s">
        <v>477</v>
      </c>
      <c r="E64" s="191"/>
      <c r="F64" s="191"/>
      <c r="G64" s="191"/>
      <c r="H64" s="191"/>
      <c r="I64" s="191"/>
      <c r="J64" s="36"/>
      <c r="K64" s="36"/>
      <c r="L64" s="36"/>
      <c r="M64" s="36"/>
      <c r="N64" s="36"/>
      <c r="O64" s="36"/>
      <c r="P64" s="36"/>
      <c r="Q64" s="36"/>
      <c r="R64" s="36"/>
      <c r="S64" s="36"/>
      <c r="T64" s="36"/>
      <c r="U64" s="189"/>
      <c r="V64" s="36"/>
      <c r="W64" s="46"/>
      <c r="X64" s="52" t="s">
        <v>140</v>
      </c>
      <c r="Y64" s="53"/>
      <c r="Z64" s="54"/>
      <c r="AA64" s="51">
        <f ca="1">_xlfn.XLOOKUP("●",$AH$61:$AH$68,$AG$61:$AG$68,0,0,1)</f>
        <v>34400</v>
      </c>
      <c r="AB64" s="50"/>
      <c r="AC64" s="46"/>
      <c r="AD64" s="38">
        <f t="shared" si="1"/>
        <v>139001</v>
      </c>
      <c r="AE64" s="38">
        <v>158000</v>
      </c>
      <c r="AF64" s="46"/>
      <c r="AG64" s="38">
        <v>51200</v>
      </c>
      <c r="AH64" s="24" t="str">
        <f t="shared" ca="1" si="0"/>
        <v/>
      </c>
      <c r="AI64" s="24" t="s">
        <v>135</v>
      </c>
      <c r="AJ64" s="46"/>
      <c r="AK64" s="185" t="s">
        <v>486</v>
      </c>
      <c r="AL64" s="185" t="s">
        <v>487</v>
      </c>
      <c r="AM64" s="185" t="s">
        <v>488</v>
      </c>
      <c r="AN64" s="185" t="s">
        <v>489</v>
      </c>
      <c r="AO64" s="185" t="s">
        <v>493</v>
      </c>
      <c r="AP64" s="46"/>
      <c r="AQ64" s="46"/>
      <c r="AR64" s="46"/>
      <c r="AS64" s="46"/>
      <c r="AT64" s="46"/>
      <c r="AU64" s="46"/>
      <c r="AV64" s="46"/>
      <c r="AW64" s="46"/>
      <c r="AX64" s="46"/>
      <c r="AY64" s="46"/>
      <c r="AZ64" s="46"/>
    </row>
    <row r="65" spans="1:52" ht="20.149999999999999" customHeight="1">
      <c r="A65" s="36"/>
      <c r="B65" s="188"/>
      <c r="C65" s="36"/>
      <c r="D65" s="36"/>
      <c r="E65" s="36"/>
      <c r="F65" s="36"/>
      <c r="G65" s="36"/>
      <c r="H65" s="36"/>
      <c r="I65" s="36"/>
      <c r="J65" s="36"/>
      <c r="K65" s="36"/>
      <c r="L65" s="36"/>
      <c r="M65" s="36"/>
      <c r="N65" s="36"/>
      <c r="O65" s="36"/>
      <c r="P65" s="36"/>
      <c r="Q65" s="36"/>
      <c r="R65" s="36"/>
      <c r="S65" s="36"/>
      <c r="T65" s="36"/>
      <c r="U65" s="189"/>
      <c r="V65" s="36"/>
      <c r="W65" s="46"/>
      <c r="X65" s="46"/>
      <c r="Y65" s="46"/>
      <c r="Z65" s="46"/>
      <c r="AA65" s="46"/>
      <c r="AB65" s="50"/>
      <c r="AC65" s="46"/>
      <c r="AD65" s="38">
        <f t="shared" si="1"/>
        <v>158001</v>
      </c>
      <c r="AE65" s="38">
        <v>186000</v>
      </c>
      <c r="AF65" s="46"/>
      <c r="AG65" s="38">
        <v>58500</v>
      </c>
      <c r="AH65" s="24" t="str">
        <f t="shared" ca="1" si="0"/>
        <v/>
      </c>
      <c r="AI65" s="24" t="s">
        <v>136</v>
      </c>
      <c r="AJ65" s="46"/>
      <c r="AK65" s="38">
        <v>0.2</v>
      </c>
      <c r="AL65" s="38">
        <v>0.4</v>
      </c>
      <c r="AM65" s="38">
        <v>0.6</v>
      </c>
      <c r="AN65" s="38">
        <v>0.8</v>
      </c>
      <c r="AO65" s="38">
        <v>1</v>
      </c>
      <c r="AP65" s="46"/>
      <c r="AQ65" s="46"/>
      <c r="AR65" s="46"/>
      <c r="AS65" s="46"/>
      <c r="AT65" s="46"/>
      <c r="AU65" s="46"/>
      <c r="AV65" s="46"/>
      <c r="AW65" s="46"/>
      <c r="AX65" s="46"/>
      <c r="AY65" s="46"/>
      <c r="AZ65" s="46"/>
    </row>
    <row r="66" spans="1:52" ht="30" customHeight="1">
      <c r="A66" s="36"/>
      <c r="B66" s="188"/>
      <c r="C66" s="218" t="s">
        <v>481</v>
      </c>
      <c r="D66" s="250"/>
      <c r="E66" s="250"/>
      <c r="F66" s="250"/>
      <c r="G66" s="250"/>
      <c r="H66" s="36"/>
      <c r="I66" s="36"/>
      <c r="J66" s="36"/>
      <c r="K66" s="36"/>
      <c r="L66" s="36"/>
      <c r="M66" s="36"/>
      <c r="N66" s="36"/>
      <c r="O66" s="36"/>
      <c r="P66" s="36"/>
      <c r="Q66" s="36"/>
      <c r="R66" s="36"/>
      <c r="S66" s="36"/>
      <c r="T66" s="36"/>
      <c r="U66" s="189"/>
      <c r="V66" s="36"/>
      <c r="W66" s="46"/>
      <c r="X66" s="46"/>
      <c r="Y66" s="46"/>
      <c r="Z66" s="46"/>
      <c r="AA66" s="46"/>
      <c r="AB66" s="46"/>
      <c r="AC66" s="46"/>
      <c r="AD66" s="38">
        <f t="shared" si="1"/>
        <v>186001</v>
      </c>
      <c r="AE66" s="38">
        <v>214000</v>
      </c>
      <c r="AF66" s="46"/>
      <c r="AG66" s="38">
        <v>67500</v>
      </c>
      <c r="AH66" s="24" t="str">
        <f t="shared" ca="1" si="0"/>
        <v/>
      </c>
      <c r="AI66" s="24" t="s">
        <v>137</v>
      </c>
      <c r="AJ66" s="46"/>
      <c r="AK66" s="38">
        <v>0.25</v>
      </c>
      <c r="AL66" s="38">
        <v>0.5</v>
      </c>
      <c r="AM66" s="38">
        <v>0.75</v>
      </c>
      <c r="AN66" s="38">
        <v>1</v>
      </c>
      <c r="AO66" s="38">
        <v>1</v>
      </c>
      <c r="AP66" s="46"/>
      <c r="AQ66" s="46"/>
      <c r="AR66" s="46"/>
      <c r="AS66" s="46"/>
      <c r="AT66" s="46"/>
      <c r="AU66" s="46"/>
      <c r="AV66" s="46"/>
      <c r="AW66" s="46"/>
      <c r="AX66" s="46"/>
      <c r="AY66" s="46"/>
      <c r="AZ66" s="46"/>
    </row>
    <row r="67" spans="1:52" ht="20.149999999999999" customHeight="1">
      <c r="A67" s="36"/>
      <c r="B67" s="188"/>
      <c r="C67" s="36"/>
      <c r="D67" s="36"/>
      <c r="E67" s="36"/>
      <c r="F67" s="36"/>
      <c r="G67" s="36"/>
      <c r="H67" s="36"/>
      <c r="I67" s="36"/>
      <c r="J67" s="36"/>
      <c r="K67" s="36"/>
      <c r="L67" s="36"/>
      <c r="M67" s="36"/>
      <c r="N67" s="36"/>
      <c r="O67" s="36"/>
      <c r="P67" s="36"/>
      <c r="Q67" s="36"/>
      <c r="R67" s="36"/>
      <c r="S67" s="36"/>
      <c r="T67" s="36"/>
      <c r="U67" s="189"/>
      <c r="V67" s="36"/>
      <c r="W67" s="46"/>
      <c r="X67" s="46"/>
      <c r="Y67" s="46"/>
      <c r="Z67" s="46"/>
      <c r="AA67" s="46"/>
      <c r="AB67" s="46"/>
      <c r="AC67" s="46"/>
      <c r="AD67" s="38">
        <f t="shared" si="1"/>
        <v>214001</v>
      </c>
      <c r="AE67" s="38">
        <v>259000</v>
      </c>
      <c r="AF67" s="46"/>
      <c r="AG67" s="38">
        <v>79000</v>
      </c>
      <c r="AH67" s="24" t="str">
        <f t="shared" ca="1" si="0"/>
        <v/>
      </c>
      <c r="AI67" s="24" t="s">
        <v>138</v>
      </c>
      <c r="AJ67" s="46"/>
      <c r="AK67" s="38">
        <v>0.5</v>
      </c>
      <c r="AL67" s="38">
        <v>1</v>
      </c>
      <c r="AM67" s="38">
        <v>1</v>
      </c>
      <c r="AN67" s="38">
        <v>1</v>
      </c>
      <c r="AO67" s="38">
        <v>1</v>
      </c>
      <c r="AP67" s="46"/>
      <c r="AQ67" s="46"/>
      <c r="AR67" s="46"/>
      <c r="AS67" s="46"/>
      <c r="AT67" s="46"/>
      <c r="AU67" s="46"/>
      <c r="AV67" s="46"/>
      <c r="AW67" s="46"/>
      <c r="AX67" s="46"/>
      <c r="AY67" s="46"/>
      <c r="AZ67" s="46"/>
    </row>
    <row r="68" spans="1:52" ht="17.149999999999999" customHeight="1">
      <c r="A68" s="36"/>
      <c r="B68" s="188"/>
      <c r="C68" s="175" t="s">
        <v>482</v>
      </c>
      <c r="D68" s="174"/>
      <c r="E68" s="174"/>
      <c r="F68" s="174"/>
      <c r="G68" s="174"/>
      <c r="H68" s="174"/>
      <c r="I68" s="174"/>
      <c r="J68" s="174"/>
      <c r="K68" s="174"/>
      <c r="L68" s="174"/>
      <c r="M68" s="36"/>
      <c r="N68" s="36"/>
      <c r="O68" s="36"/>
      <c r="P68" s="36"/>
      <c r="Q68" s="36"/>
      <c r="R68" s="36"/>
      <c r="S68" s="36"/>
      <c r="T68" s="36"/>
      <c r="U68" s="189"/>
      <c r="V68" s="36"/>
      <c r="W68" s="46"/>
      <c r="X68" s="46"/>
      <c r="Y68" s="46"/>
      <c r="Z68" s="46"/>
      <c r="AA68" s="46"/>
      <c r="AB68" s="46"/>
      <c r="AC68" s="46"/>
      <c r="AD68" s="38">
        <f t="shared" si="1"/>
        <v>259001</v>
      </c>
      <c r="AE68" s="38"/>
      <c r="AF68" s="46"/>
      <c r="AG68" s="38">
        <v>91100</v>
      </c>
      <c r="AH68" s="24" t="str">
        <f ca="1">IF(AND($AA$62&gt;$AD68),"●","")</f>
        <v/>
      </c>
      <c r="AI68" s="24" t="s">
        <v>139</v>
      </c>
      <c r="AJ68" s="46"/>
      <c r="AK68" s="38">
        <v>1</v>
      </c>
      <c r="AL68" s="38">
        <v>1</v>
      </c>
      <c r="AM68" s="38">
        <v>1</v>
      </c>
      <c r="AN68" s="38">
        <v>1</v>
      </c>
      <c r="AO68" s="38">
        <v>1</v>
      </c>
      <c r="AP68" s="46"/>
      <c r="AQ68" s="46"/>
      <c r="AR68" s="46"/>
      <c r="AS68" s="46"/>
      <c r="AT68" s="46"/>
      <c r="AU68" s="46"/>
      <c r="AV68" s="46"/>
      <c r="AW68" s="46"/>
      <c r="AX68" s="46"/>
      <c r="AY68" s="46"/>
      <c r="AZ68" s="46"/>
    </row>
    <row r="69" spans="1:52" ht="17.149999999999999" customHeight="1">
      <c r="A69" s="36"/>
      <c r="B69" s="188"/>
      <c r="C69" s="242" t="s">
        <v>116</v>
      </c>
      <c r="D69" s="253" t="s">
        <v>549</v>
      </c>
      <c r="E69" s="253"/>
      <c r="F69" s="253"/>
      <c r="G69" s="253" t="s">
        <v>553</v>
      </c>
      <c r="H69" s="253"/>
      <c r="I69" s="253" t="s">
        <v>117</v>
      </c>
      <c r="J69" s="253"/>
      <c r="K69" s="253"/>
      <c r="L69" s="36"/>
      <c r="M69" s="36"/>
      <c r="N69" s="36"/>
      <c r="O69" s="36"/>
      <c r="P69" s="36"/>
      <c r="Q69" s="36"/>
      <c r="R69" s="36"/>
      <c r="S69" s="36"/>
      <c r="T69" s="36"/>
      <c r="U69" s="189"/>
      <c r="V69" s="3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row>
    <row r="70" spans="1:52" ht="17.149999999999999" customHeight="1">
      <c r="A70" s="36"/>
      <c r="B70" s="188"/>
      <c r="C70" s="243" t="s">
        <v>548</v>
      </c>
      <c r="D70" s="251" t="s">
        <v>552</v>
      </c>
      <c r="E70" s="251"/>
      <c r="F70" s="251"/>
      <c r="G70" s="251" t="s">
        <v>555</v>
      </c>
      <c r="H70" s="251"/>
      <c r="I70" s="251" t="s">
        <v>556</v>
      </c>
      <c r="J70" s="251"/>
      <c r="K70" s="251"/>
      <c r="L70" s="36"/>
      <c r="M70" s="36"/>
      <c r="N70" s="36"/>
      <c r="O70" s="36"/>
      <c r="P70" s="36"/>
      <c r="Q70" s="36"/>
      <c r="R70" s="36"/>
      <c r="S70" s="36"/>
      <c r="T70" s="36"/>
      <c r="U70" s="189"/>
      <c r="V70" s="3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46"/>
      <c r="AZ70" s="46"/>
    </row>
    <row r="71" spans="1:52" ht="17.149999999999999" customHeight="1">
      <c r="A71" s="36"/>
      <c r="B71" s="188"/>
      <c r="C71" s="244" t="s">
        <v>111</v>
      </c>
      <c r="D71" s="252" t="s">
        <v>550</v>
      </c>
      <c r="E71" s="252"/>
      <c r="F71" s="252"/>
      <c r="G71" s="252" t="s">
        <v>113</v>
      </c>
      <c r="H71" s="252"/>
      <c r="I71" s="251" t="s">
        <v>114</v>
      </c>
      <c r="J71" s="251"/>
      <c r="K71" s="251"/>
      <c r="L71" s="36"/>
      <c r="M71" s="36"/>
      <c r="N71" s="36"/>
      <c r="O71" s="36"/>
      <c r="P71" s="36"/>
      <c r="Q71" s="36"/>
      <c r="R71" s="36"/>
      <c r="S71" s="36"/>
      <c r="T71" s="36"/>
      <c r="U71" s="189"/>
      <c r="V71" s="36"/>
      <c r="W71" s="46"/>
      <c r="X71" s="46"/>
      <c r="Y71" s="46"/>
      <c r="Z71" s="46"/>
      <c r="AA71" s="46"/>
      <c r="AB71" s="46"/>
      <c r="AC71" s="46"/>
      <c r="AD71" s="46"/>
      <c r="AE71" s="46"/>
      <c r="AF71" s="46"/>
      <c r="AG71" s="95" t="s">
        <v>460</v>
      </c>
      <c r="AH71" s="95" t="s">
        <v>130</v>
      </c>
      <c r="AI71" s="46"/>
      <c r="AJ71" s="46"/>
      <c r="AK71" s="46"/>
      <c r="AL71" s="46"/>
      <c r="AM71" s="46"/>
      <c r="AN71" s="46"/>
      <c r="AO71" s="46"/>
      <c r="AP71" s="46"/>
      <c r="AQ71" s="46"/>
      <c r="AR71" s="46"/>
      <c r="AS71" s="46"/>
      <c r="AT71" s="46"/>
      <c r="AU71" s="46"/>
      <c r="AV71" s="46"/>
      <c r="AW71" s="46"/>
      <c r="AX71" s="46"/>
      <c r="AY71" s="46"/>
      <c r="AZ71" s="46"/>
    </row>
    <row r="72" spans="1:52" ht="17.149999999999999" customHeight="1">
      <c r="A72" s="36"/>
      <c r="B72" s="188"/>
      <c r="C72" s="243" t="s">
        <v>112</v>
      </c>
      <c r="D72" s="251" t="s">
        <v>551</v>
      </c>
      <c r="E72" s="251"/>
      <c r="F72" s="251"/>
      <c r="G72" s="251" t="s">
        <v>554</v>
      </c>
      <c r="H72" s="251"/>
      <c r="I72" s="251" t="s">
        <v>115</v>
      </c>
      <c r="J72" s="251"/>
      <c r="K72" s="251"/>
      <c r="L72" s="36"/>
      <c r="M72" s="36"/>
      <c r="N72" s="36"/>
      <c r="O72" s="36"/>
      <c r="P72" s="36"/>
      <c r="Q72" s="36"/>
      <c r="R72" s="36"/>
      <c r="S72" s="36"/>
      <c r="T72" s="36"/>
      <c r="U72" s="189"/>
      <c r="V72" s="36"/>
      <c r="W72" s="46"/>
      <c r="X72" s="46"/>
      <c r="Y72" s="46"/>
      <c r="Z72" s="46"/>
      <c r="AA72" s="46"/>
      <c r="AB72" s="46"/>
      <c r="AC72" s="46"/>
      <c r="AD72" s="46"/>
      <c r="AE72" s="46"/>
      <c r="AF72" s="46"/>
      <c r="AG72" s="173" t="s">
        <v>461</v>
      </c>
      <c r="AH72" s="24" t="str">
        <f ca="1">IF($AB$43="該当",IF(COUNTIF($AH$61:$AH$66,"●")&gt;=1,"●",""),IF(COUNTIF($AH$61:$AH$64,"●")&gt;=1,"●",""))</f>
        <v>●</v>
      </c>
      <c r="AI72" s="46"/>
      <c r="AJ72" s="46"/>
      <c r="AK72" s="46"/>
      <c r="AL72" s="46"/>
      <c r="AM72" s="46"/>
      <c r="AN72" s="46"/>
      <c r="AO72" s="46"/>
      <c r="AP72" s="46"/>
      <c r="AQ72" s="46"/>
      <c r="AR72" s="46"/>
      <c r="AS72" s="46"/>
      <c r="AT72" s="46"/>
      <c r="AU72" s="46"/>
      <c r="AV72" s="46"/>
      <c r="AW72" s="46"/>
      <c r="AX72" s="46"/>
      <c r="AY72" s="46"/>
      <c r="AZ72" s="46"/>
    </row>
    <row r="73" spans="1:52" ht="30" customHeight="1">
      <c r="A73" s="36"/>
      <c r="B73" s="194"/>
      <c r="C73" s="204"/>
      <c r="D73" s="205"/>
      <c r="E73" s="205"/>
      <c r="F73" s="205"/>
      <c r="G73" s="205"/>
      <c r="H73" s="205"/>
      <c r="I73" s="205"/>
      <c r="J73" s="205"/>
      <c r="K73" s="205"/>
      <c r="L73" s="205"/>
      <c r="M73" s="195"/>
      <c r="N73" s="195"/>
      <c r="O73" s="195"/>
      <c r="P73" s="195"/>
      <c r="Q73" s="195"/>
      <c r="R73" s="195"/>
      <c r="S73" s="195"/>
      <c r="T73" s="195"/>
      <c r="U73" s="196"/>
      <c r="V73" s="36"/>
      <c r="W73" s="46"/>
      <c r="X73" s="46"/>
      <c r="Y73" s="46"/>
      <c r="Z73" s="46"/>
      <c r="AA73" s="46"/>
      <c r="AB73" s="46"/>
      <c r="AC73" s="46"/>
      <c r="AD73" s="46"/>
      <c r="AE73" s="46"/>
      <c r="AF73" s="46"/>
      <c r="AG73" s="173" t="s">
        <v>462</v>
      </c>
      <c r="AH73" s="24" t="str">
        <f ca="1">IF($AB$43="該当",IF(COUNTIF($AH$67:$AH$68,"●")&gt;=1,"●",""),IF(COUNTIF($AH$65:$AH$68,"●")&gt;=1,"●",""))</f>
        <v/>
      </c>
      <c r="AI73" s="46"/>
      <c r="AJ73" s="46"/>
      <c r="AK73" s="46"/>
      <c r="AL73" s="46"/>
      <c r="AM73" s="46"/>
      <c r="AN73" s="46"/>
      <c r="AO73" s="46"/>
      <c r="AP73" s="46"/>
      <c r="AQ73" s="46"/>
      <c r="AR73" s="46"/>
      <c r="AS73" s="46"/>
      <c r="AT73" s="46"/>
      <c r="AU73" s="46"/>
      <c r="AV73" s="46"/>
      <c r="AW73" s="46"/>
      <c r="AX73" s="46"/>
      <c r="AY73" s="46"/>
      <c r="AZ73" s="46"/>
    </row>
    <row r="74" spans="1:52" ht="30" customHeight="1">
      <c r="A74" s="36"/>
      <c r="B74" s="36"/>
      <c r="C74" s="209" t="s">
        <v>520</v>
      </c>
      <c r="D74" s="36"/>
      <c r="E74" s="36"/>
      <c r="F74" s="36"/>
      <c r="G74" s="36"/>
      <c r="H74" s="36"/>
      <c r="I74" s="36"/>
      <c r="J74" s="36"/>
      <c r="K74" s="36"/>
      <c r="L74" s="36"/>
      <c r="M74" s="36"/>
      <c r="N74" s="36"/>
      <c r="O74" s="36"/>
      <c r="P74" s="36"/>
      <c r="Q74" s="36"/>
      <c r="R74" s="36"/>
      <c r="S74" s="36"/>
      <c r="T74" s="36"/>
      <c r="U74" s="36"/>
      <c r="V74" s="36"/>
      <c r="W74" s="46"/>
      <c r="X74" s="46"/>
      <c r="Y74" s="46"/>
      <c r="Z74" s="46"/>
      <c r="AA74" s="46"/>
      <c r="AB74" s="46"/>
      <c r="AC74" s="46"/>
      <c r="AD74" s="46"/>
      <c r="AE74" s="46"/>
      <c r="AF74" s="46"/>
      <c r="AG74" s="173" t="s">
        <v>463</v>
      </c>
      <c r="AH74" s="24" t="str">
        <f ca="1">IF($AA$62&gt;313000,"●","")</f>
        <v/>
      </c>
      <c r="AI74" s="46"/>
      <c r="AJ74" s="46"/>
      <c r="AK74" s="46"/>
      <c r="AL74" s="46"/>
      <c r="AM74" s="46"/>
      <c r="AN74" s="46"/>
      <c r="AO74" s="46"/>
      <c r="AP74" s="46"/>
      <c r="AQ74" s="46"/>
      <c r="AR74" s="46"/>
      <c r="AS74" s="46"/>
      <c r="AT74" s="46"/>
      <c r="AU74" s="46"/>
      <c r="AV74" s="46"/>
      <c r="AW74" s="46"/>
      <c r="AX74" s="46"/>
      <c r="AY74" s="46"/>
      <c r="AZ74" s="46"/>
    </row>
    <row r="75" spans="1:52" ht="30" customHeight="1">
      <c r="A75" s="36"/>
      <c r="B75" s="206" t="s">
        <v>492</v>
      </c>
      <c r="C75" s="207"/>
      <c r="D75" s="207"/>
      <c r="E75" s="207"/>
      <c r="F75" s="207"/>
      <c r="G75" s="207"/>
      <c r="H75" s="207"/>
      <c r="I75" s="207"/>
      <c r="J75" s="207"/>
      <c r="K75" s="207"/>
      <c r="L75" s="207"/>
      <c r="M75" s="207"/>
      <c r="N75" s="207"/>
      <c r="O75" s="207"/>
      <c r="P75" s="207"/>
      <c r="Q75" s="207"/>
      <c r="R75" s="207"/>
      <c r="S75" s="207"/>
      <c r="T75" s="207"/>
      <c r="U75" s="208"/>
      <c r="V75" s="3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row>
    <row r="76" spans="1:52" ht="10" customHeight="1">
      <c r="A76" s="36"/>
      <c r="B76" s="228"/>
      <c r="C76" s="230"/>
      <c r="D76" s="231"/>
      <c r="E76" s="231"/>
      <c r="F76" s="231"/>
      <c r="G76" s="231"/>
      <c r="H76" s="231"/>
      <c r="I76" s="231"/>
      <c r="J76" s="231"/>
      <c r="K76" s="231"/>
      <c r="L76" s="231"/>
      <c r="M76" s="231"/>
      <c r="N76" s="231"/>
      <c r="O76" s="231"/>
      <c r="P76" s="231"/>
      <c r="Q76" s="231"/>
      <c r="R76" s="231"/>
      <c r="S76" s="231"/>
      <c r="T76" s="231"/>
      <c r="U76" s="232"/>
      <c r="V76" s="3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row>
    <row r="77" spans="1:52" ht="14.15" customHeight="1">
      <c r="A77" s="36"/>
      <c r="B77" s="228"/>
      <c r="C77" s="280" t="s">
        <v>498</v>
      </c>
      <c r="D77" s="280" t="s">
        <v>497</v>
      </c>
      <c r="E77" s="280"/>
      <c r="F77" s="280"/>
      <c r="G77" s="284" t="s">
        <v>511</v>
      </c>
      <c r="H77" s="284"/>
      <c r="I77" s="231"/>
      <c r="J77" s="231"/>
      <c r="K77" s="231"/>
      <c r="L77" s="231"/>
      <c r="M77" s="231"/>
      <c r="N77" s="231"/>
      <c r="O77" s="231"/>
      <c r="P77" s="231"/>
      <c r="Q77" s="241" t="s">
        <v>545</v>
      </c>
      <c r="R77" s="282">
        <f ca="1">AA62</f>
        <v>0</v>
      </c>
      <c r="S77" s="283"/>
      <c r="T77" s="231"/>
      <c r="U77" s="232"/>
      <c r="V77" s="3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row>
    <row r="78" spans="1:52" ht="14.15" customHeight="1">
      <c r="A78" s="36"/>
      <c r="B78" s="228"/>
      <c r="C78" s="280"/>
      <c r="D78" s="280"/>
      <c r="E78" s="280"/>
      <c r="F78" s="280"/>
      <c r="G78" s="284"/>
      <c r="H78" s="284"/>
      <c r="I78" s="231"/>
      <c r="J78" s="231"/>
      <c r="K78" s="231"/>
      <c r="L78" s="231"/>
      <c r="M78" s="231"/>
      <c r="N78" s="231"/>
      <c r="O78" s="231"/>
      <c r="P78" s="231"/>
      <c r="Q78" s="241" t="s">
        <v>546</v>
      </c>
      <c r="R78" s="286" t="str">
        <f ca="1">_xlfn.XLOOKUP("●",$AH$61:$AH$68,$AI$61:$AI$68,0,0,1)</f>
        <v>第1分位</v>
      </c>
      <c r="S78" s="287"/>
      <c r="T78" s="231"/>
      <c r="U78" s="232"/>
      <c r="V78" s="3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row>
    <row r="79" spans="1:52" ht="14.15" customHeight="1" thickBot="1">
      <c r="A79" s="36"/>
      <c r="B79" s="228"/>
      <c r="C79" s="281"/>
      <c r="D79" s="281"/>
      <c r="E79" s="281"/>
      <c r="F79" s="281"/>
      <c r="G79" s="285"/>
      <c r="H79" s="285"/>
      <c r="I79" s="236"/>
      <c r="J79" s="230"/>
      <c r="K79" s="231"/>
      <c r="L79" s="231"/>
      <c r="M79" s="231"/>
      <c r="N79" s="231"/>
      <c r="O79" s="231"/>
      <c r="P79" s="231"/>
      <c r="Q79" s="241" t="s">
        <v>547</v>
      </c>
      <c r="R79" s="282" t="str">
        <f>$AB$43</f>
        <v>非該当</v>
      </c>
      <c r="S79" s="283"/>
      <c r="T79" s="231"/>
      <c r="U79" s="233"/>
      <c r="V79" s="83"/>
      <c r="W79" s="46"/>
      <c r="X79" s="50" t="s">
        <v>491</v>
      </c>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row>
    <row r="80" spans="1:52" ht="24" customHeight="1">
      <c r="A80" s="36"/>
      <c r="B80" s="228"/>
      <c r="C80" s="219" t="s">
        <v>499</v>
      </c>
      <c r="D80" s="273">
        <f ca="1">MIN(OFFSET(家賃計算!$C$13,0,$X80),IF($D$66="1LDK",'近傍同種　RC造都計内'!$D$40*1000,IF($D$66="2LDK",'近傍同種　木造都計外'!$D$38*1000,IF($D$66="3LDK",'近傍同種　木造都計外'!$D$52*1000,0))))</f>
        <v>0</v>
      </c>
      <c r="E80" s="273"/>
      <c r="F80" s="273"/>
      <c r="G80" s="268">
        <f ca="1">SUM($D80*12)/10000</f>
        <v>0</v>
      </c>
      <c r="H80" s="269"/>
      <c r="I80" s="237"/>
      <c r="J80" s="230"/>
      <c r="K80" s="230"/>
      <c r="L80" s="230"/>
      <c r="M80" s="230"/>
      <c r="N80" s="230"/>
      <c r="O80" s="230"/>
      <c r="P80" s="230"/>
      <c r="Q80" s="230"/>
      <c r="R80" s="230"/>
      <c r="S80" s="230"/>
      <c r="T80" s="230"/>
      <c r="U80" s="233"/>
      <c r="V80" s="83"/>
      <c r="W80" s="46"/>
      <c r="X80" s="38">
        <v>0</v>
      </c>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row>
    <row r="81" spans="1:52" ht="24" customHeight="1">
      <c r="A81" s="36"/>
      <c r="B81" s="228"/>
      <c r="C81" s="186" t="s">
        <v>500</v>
      </c>
      <c r="D81" s="263">
        <f ca="1">MIN(OFFSET(家賃計算!$C$13,0,$X81),IF($D$66="1LDK",'近傍同種　RC造都計内'!$D$40*1000,IF($D$66="2LDK",'近傍同種　木造都計外'!$D$38*1000,IF($D$66="3LDK",'近傍同種　木造都計外'!$D$52*1000,0))))</f>
        <v>0</v>
      </c>
      <c r="E81" s="264"/>
      <c r="F81" s="264"/>
      <c r="G81" s="245">
        <f ca="1">SUM($D81*12)/10000+$G80</f>
        <v>0</v>
      </c>
      <c r="H81" s="246"/>
      <c r="I81" s="237"/>
      <c r="J81" s="230"/>
      <c r="K81" s="230"/>
      <c r="L81" s="230"/>
      <c r="M81" s="230"/>
      <c r="N81" s="230"/>
      <c r="O81" s="230"/>
      <c r="P81" s="230"/>
      <c r="Q81" s="230"/>
      <c r="R81" s="230"/>
      <c r="S81" s="230"/>
      <c r="T81" s="230"/>
      <c r="U81" s="233"/>
      <c r="V81" s="83"/>
      <c r="W81" s="46"/>
      <c r="X81" s="38">
        <v>1</v>
      </c>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row>
    <row r="82" spans="1:52" ht="24" customHeight="1">
      <c r="A82" s="36"/>
      <c r="B82" s="228"/>
      <c r="C82" s="186" t="s">
        <v>501</v>
      </c>
      <c r="D82" s="263">
        <f ca="1">MIN(OFFSET(家賃計算!$C$13,0,$X82),IF($D$66="1LDK",'近傍同種　RC造都計内'!$D$40*1000,IF($D$66="2LDK",'近傍同種　木造都計外'!$D$38*1000,IF($D$66="3LDK",'近傍同種　木造都計外'!$D$52*1000,0))))</f>
        <v>0</v>
      </c>
      <c r="E82" s="264"/>
      <c r="F82" s="264"/>
      <c r="G82" s="245">
        <f t="shared" ref="G82:G99" ca="1" si="2">SUM($D82*12)/10000+$G81</f>
        <v>0</v>
      </c>
      <c r="H82" s="246"/>
      <c r="I82" s="237"/>
      <c r="J82" s="230"/>
      <c r="K82" s="230"/>
      <c r="L82" s="230"/>
      <c r="M82" s="230"/>
      <c r="N82" s="230"/>
      <c r="O82" s="230"/>
      <c r="P82" s="230"/>
      <c r="Q82" s="230"/>
      <c r="R82" s="230"/>
      <c r="S82" s="230"/>
      <c r="T82" s="230"/>
      <c r="U82" s="233"/>
      <c r="V82" s="83"/>
      <c r="W82" s="46"/>
      <c r="X82" s="38">
        <v>2</v>
      </c>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row>
    <row r="83" spans="1:52" ht="24" customHeight="1">
      <c r="A83" s="36"/>
      <c r="B83" s="228"/>
      <c r="C83" s="186" t="s">
        <v>502</v>
      </c>
      <c r="D83" s="263">
        <f ca="1">MIN(OFFSET(家賃計算!$C$13,0,$X83),IF($D$66="1LDK",'近傍同種　RC造都計内'!$D$40*1000,IF($D$66="2LDK",'近傍同種　木造都計外'!$D$38*1000,IF($D$66="3LDK",'近傍同種　木造都計外'!$D$52*1000,0))))+
ROUNDDOWN(IF($AH$73="●",_xlfn.XLOOKUP("●",$AH$65:$AH$68,$AK$65:$AK$68,0,0,1),0)*
(IF($D$66="1LDK",'近傍同種　RC造都計内'!$D$40*1000,IF($D$66="2LDK",'近傍同種　木造都計外'!$D$38*1000,IF($D$66="3LDK",'近傍同種　木造都計外'!$D$52*1000,0)))-
MIN(OFFSET(家賃計算!$C$13,0,$X83),IF($D$66="1LDK",'近傍同種　RC造都計内'!$D$40*1000,IF($D$66="2LDK",'近傍同種　木造都計外'!$D$38*1000,IF($D$66="3LDK",'近傍同種　木造都計外'!$D$52*1000,0))))),
-2)</f>
        <v>0</v>
      </c>
      <c r="E83" s="264"/>
      <c r="F83" s="264"/>
      <c r="G83" s="245">
        <f t="shared" ca="1" si="2"/>
        <v>0</v>
      </c>
      <c r="H83" s="246"/>
      <c r="I83" s="238" t="str">
        <f ca="1">IF($AH$73="●","　※「収入超過者」に該当する可能性があるため、4年目以降はその場合の家賃の目安を示しています。（住戸面積や建設費次第では、この金額より高くなることもあります。）","")</f>
        <v/>
      </c>
      <c r="J83" s="230"/>
      <c r="K83" s="230"/>
      <c r="L83" s="230"/>
      <c r="M83" s="230"/>
      <c r="N83" s="230"/>
      <c r="O83" s="230"/>
      <c r="P83" s="230"/>
      <c r="Q83" s="230"/>
      <c r="R83" s="230"/>
      <c r="S83" s="230"/>
      <c r="T83" s="230"/>
      <c r="U83" s="233"/>
      <c r="V83" s="83"/>
      <c r="W83" s="46"/>
      <c r="X83" s="38">
        <v>3</v>
      </c>
      <c r="Y83" s="50" t="s">
        <v>494</v>
      </c>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row>
    <row r="84" spans="1:52" ht="24" customHeight="1">
      <c r="A84" s="36"/>
      <c r="B84" s="228"/>
      <c r="C84" s="186" t="s">
        <v>503</v>
      </c>
      <c r="D84" s="263">
        <f ca="1">MIN(OFFSET(家賃計算!$C$13,0,$X84),IF($D$66="1LDK",'近傍同種　RC造都計内'!$D$40*1000,IF($D$66="2LDK",'近傍同種　木造都計外'!$D$38*1000,IF($D$66="3LDK",'近傍同種　木造都計外'!$D$52*1000,0))))+
ROUNDDOWN(IF($AH$73="●",_xlfn.XLOOKUP("●",$AH$65:$AH$68,$AL$65:$AL$68,0,0,1),0)*
(IF($D$66="1LDK",'近傍同種　RC造都計内'!$D$40*1000,IF($D$66="2LDK",'近傍同種　木造都計外'!$D$38*1000,IF($D$66="3LDK",'近傍同種　木造都計外'!$D$52*1000,0)))-
MIN(OFFSET(家賃計算!$C$13,0,$X84),IF($D$66="1LDK",'近傍同種　RC造都計内'!$D$40*1000,IF($D$66="2LDK",'近傍同種　木造都計外'!$D$38*1000,IF($D$66="3LDK",'近傍同種　木造都計外'!$D$52*1000,0))))),
-2)</f>
        <v>0</v>
      </c>
      <c r="E84" s="264"/>
      <c r="F84" s="265"/>
      <c r="G84" s="245">
        <f t="shared" ca="1" si="2"/>
        <v>0</v>
      </c>
      <c r="H84" s="246"/>
      <c r="I84" s="237"/>
      <c r="J84" s="230"/>
      <c r="K84" s="230"/>
      <c r="L84" s="230"/>
      <c r="M84" s="230"/>
      <c r="N84" s="230"/>
      <c r="O84" s="230"/>
      <c r="P84" s="230"/>
      <c r="Q84" s="230"/>
      <c r="R84" s="230"/>
      <c r="S84" s="230"/>
      <c r="T84" s="230"/>
      <c r="U84" s="233"/>
      <c r="V84" s="83"/>
      <c r="W84" s="46"/>
      <c r="X84" s="38">
        <v>4</v>
      </c>
      <c r="Y84" s="50" t="s">
        <v>495</v>
      </c>
      <c r="Z84" s="46"/>
      <c r="AA84" s="46"/>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row>
    <row r="85" spans="1:52" ht="24" customHeight="1">
      <c r="A85" s="36"/>
      <c r="B85" s="228"/>
      <c r="C85" s="186" t="s">
        <v>504</v>
      </c>
      <c r="D85" s="263">
        <f ca="1">MIN(OFFSET(家賃計算!$C$13,0,$X85),IF($D$66="1LDK",'近傍同種　RC造都計内'!$D$40*1000,IF($D$66="2LDK",'近傍同種　木造都計外'!$D$38*1000,IF($D$66="3LDK",'近傍同種　木造都計外'!$D$52*1000,0))))+
ROUNDDOWN(IF($AH$73="●",_xlfn.XLOOKUP("●",$AH$65:$AH$68,$AM$65:$AM$68,0,0,1),0)*
(IF($D$66="1LDK",'近傍同種　RC造都計内'!$D$40*1000,IF($D$66="2LDK",'近傍同種　木造都計外'!$D$38*1000,IF($D$66="3LDK",'近傍同種　木造都計外'!$D$52*1000,0)))-
MIN(OFFSET(家賃計算!$C$13,0,$X85),IF($D$66="1LDK",'近傍同種　RC造都計内'!$D$40*1000,IF($D$66="2LDK",'近傍同種　木造都計外'!$D$38*1000,IF($D$66="3LDK",'近傍同種　木造都計外'!$D$52*1000,0))))),
-2)</f>
        <v>0</v>
      </c>
      <c r="E85" s="264"/>
      <c r="F85" s="265"/>
      <c r="G85" s="245">
        <f t="shared" ca="1" si="2"/>
        <v>0</v>
      </c>
      <c r="H85" s="246"/>
      <c r="I85" s="238" t="str">
        <f ca="1">IF($AH$74="●","　※「高額所得者」に該当し、6年目以降に住宅の明渡し請求が行われる可能性があります。","")</f>
        <v/>
      </c>
      <c r="J85" s="230"/>
      <c r="K85" s="230"/>
      <c r="L85" s="230"/>
      <c r="M85" s="230"/>
      <c r="N85" s="230"/>
      <c r="O85" s="230"/>
      <c r="P85" s="230"/>
      <c r="Q85" s="230"/>
      <c r="R85" s="230"/>
      <c r="S85" s="230"/>
      <c r="T85" s="230"/>
      <c r="U85" s="233"/>
      <c r="V85" s="83"/>
      <c r="W85" s="46"/>
      <c r="X85" s="38">
        <v>5</v>
      </c>
      <c r="Y85" s="50" t="s">
        <v>496</v>
      </c>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row>
    <row r="86" spans="1:52" ht="24" customHeight="1">
      <c r="A86" s="36"/>
      <c r="B86" s="228"/>
      <c r="C86" s="186" t="s">
        <v>505</v>
      </c>
      <c r="D86" s="263">
        <f ca="1">MIN(OFFSET(家賃計算!$C$13,0,$X86),IF($D$66="1LDK",'近傍同種　RC造都計内'!$D$40*1000,IF($D$66="2LDK",'近傍同種　木造都計外'!$D$38*1000,IF($D$66="3LDK",'近傍同種　木造都計外'!$D$52*1000,0))))+
ROUNDDOWN(IF($AH$73="●",_xlfn.XLOOKUP("●",$AH$65:$AH$68,$AN$65:$AN$68,0,0,1),0)*
(IF($D$66="1LDK",'近傍同種　RC造都計内'!$D$40*1000,IF($D$66="2LDK",'近傍同種　木造都計外'!$D$38*1000,IF($D$66="3LDK",'近傍同種　木造都計外'!$D$52*1000,0)))-
MIN(OFFSET(家賃計算!$C$13,0,$X86),IF($D$66="1LDK",'近傍同種　RC造都計内'!$D$40*1000,IF($D$66="2LDK",'近傍同種　木造都計外'!$D$38*1000,IF($D$66="3LDK",'近傍同種　木造都計外'!$D$52*1000,0))))),
-2)</f>
        <v>0</v>
      </c>
      <c r="E86" s="264"/>
      <c r="F86" s="265"/>
      <c r="G86" s="245">
        <f t="shared" ca="1" si="2"/>
        <v>0</v>
      </c>
      <c r="H86" s="246"/>
      <c r="I86" s="237"/>
      <c r="J86" s="230"/>
      <c r="K86" s="230"/>
      <c r="L86" s="230"/>
      <c r="M86" s="230"/>
      <c r="N86" s="230"/>
      <c r="O86" s="230"/>
      <c r="P86" s="230"/>
      <c r="Q86" s="230"/>
      <c r="R86" s="230"/>
      <c r="S86" s="230"/>
      <c r="T86" s="230"/>
      <c r="U86" s="233"/>
      <c r="V86" s="83"/>
      <c r="W86" s="46"/>
      <c r="X86" s="38">
        <v>6</v>
      </c>
      <c r="Y86" s="50" t="s">
        <v>539</v>
      </c>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row>
    <row r="87" spans="1:52" ht="24" customHeight="1">
      <c r="A87" s="36"/>
      <c r="B87" s="228"/>
      <c r="C87" s="186" t="s">
        <v>506</v>
      </c>
      <c r="D87" s="263">
        <f ca="1">MIN(OFFSET(家賃計算!$C$13,0,$X87),IF($D$66="1LDK",'近傍同種　RC造都計内'!$D$40*1000,IF($D$66="2LDK",'近傍同種　木造都計外'!$D$38*1000,IF($D$66="3LDK",'近傍同種　木造都計外'!$D$52*1000,0))))+
ROUNDDOWN(IF($AH$73="●",_xlfn.XLOOKUP("●",$AH$65:$AH$68,$AO$65:$AO$68,0,0,1),0)*
(IF($D$66="1LDK",'近傍同種　RC造都計内'!$D$40*1000,IF($D$66="2LDK",'近傍同種　木造都計外'!$D$38*1000,IF($D$66="3LDK",'近傍同種　木造都計外'!$D$52*1000,0)))-
MIN(OFFSET(家賃計算!$C$13,0,$X87),IF($D$66="1LDK",'近傍同種　RC造都計内'!$D$40*1000,IF($D$66="2LDK",'近傍同種　木造都計外'!$D$38*1000,IF($D$66="3LDK",'近傍同種　木造都計外'!$D$52*1000,0))))),
-2)</f>
        <v>0</v>
      </c>
      <c r="E87" s="264"/>
      <c r="F87" s="264"/>
      <c r="G87" s="245">
        <f t="shared" ca="1" si="2"/>
        <v>0</v>
      </c>
      <c r="H87" s="246"/>
      <c r="I87" s="237"/>
      <c r="J87" s="230"/>
      <c r="K87" s="230"/>
      <c r="L87" s="230"/>
      <c r="M87" s="230"/>
      <c r="N87" s="230"/>
      <c r="O87" s="230"/>
      <c r="P87" s="230"/>
      <c r="Q87" s="230"/>
      <c r="R87" s="230"/>
      <c r="S87" s="230"/>
      <c r="T87" s="230"/>
      <c r="U87" s="233"/>
      <c r="V87" s="83"/>
      <c r="W87" s="46"/>
      <c r="X87" s="38">
        <v>7</v>
      </c>
      <c r="Y87" s="50" t="s">
        <v>540</v>
      </c>
      <c r="Z87" s="46"/>
      <c r="AA87" s="46"/>
      <c r="AB87" s="46"/>
      <c r="AC87" s="46"/>
      <c r="AD87" s="46"/>
      <c r="AE87" s="46"/>
      <c r="AF87" s="46"/>
      <c r="AG87" s="46"/>
      <c r="AH87" s="46"/>
      <c r="AI87" s="46"/>
      <c r="AJ87" s="46"/>
      <c r="AK87" s="46"/>
      <c r="AL87" s="46"/>
      <c r="AM87" s="46"/>
      <c r="AN87" s="46"/>
      <c r="AO87" s="46"/>
      <c r="AP87" s="46"/>
      <c r="AQ87" s="46"/>
      <c r="AR87" s="46"/>
      <c r="AS87" s="46"/>
      <c r="AT87" s="46"/>
      <c r="AU87" s="46"/>
      <c r="AV87" s="46"/>
      <c r="AW87" s="46"/>
      <c r="AX87" s="46"/>
      <c r="AY87" s="46"/>
      <c r="AZ87" s="46"/>
    </row>
    <row r="88" spans="1:52" ht="24" customHeight="1">
      <c r="A88" s="36"/>
      <c r="B88" s="228"/>
      <c r="C88" s="186" t="s">
        <v>507</v>
      </c>
      <c r="D88" s="263">
        <f ca="1">MIN(OFFSET(家賃計算!$C$13,0,$X88),IF($D$66="1LDK",'近傍同種　RC造都計内'!$D$40*1000,IF($D$66="2LDK",'近傍同種　木造都計外'!$D$38*1000,IF($D$66="3LDK",'近傍同種　木造都計外'!$D$52*1000,0))))+
ROUNDDOWN(IF($AH$73="●",_xlfn.XLOOKUP("●",$AH$65:$AH$68,$AO$65:$AO$68,0,0,1),0)*
(IF($D$66="1LDK",'近傍同種　RC造都計内'!$D$40*1000,IF($D$66="2LDK",'近傍同種　木造都計外'!$D$38*1000,IF($D$66="3LDK",'近傍同種　木造都計外'!$D$52*1000,0)))-
MIN(OFFSET(家賃計算!$C$13,0,$X88),IF($D$66="1LDK",'近傍同種　RC造都計内'!$D$40*1000,IF($D$66="2LDK",'近傍同種　木造都計外'!$D$38*1000,IF($D$66="3LDK",'近傍同種　木造都計外'!$D$52*1000,0))))),
-2)</f>
        <v>0</v>
      </c>
      <c r="E88" s="264"/>
      <c r="F88" s="265"/>
      <c r="G88" s="245">
        <f t="shared" ca="1" si="2"/>
        <v>0</v>
      </c>
      <c r="H88" s="246"/>
      <c r="I88" s="237"/>
      <c r="J88" s="230"/>
      <c r="K88" s="230"/>
      <c r="L88" s="230"/>
      <c r="M88" s="230"/>
      <c r="N88" s="230"/>
      <c r="O88" s="230"/>
      <c r="P88" s="230"/>
      <c r="Q88" s="230"/>
      <c r="R88" s="230"/>
      <c r="S88" s="230"/>
      <c r="T88" s="230"/>
      <c r="U88" s="233"/>
      <c r="V88" s="83"/>
      <c r="W88" s="46"/>
      <c r="X88" s="38">
        <v>8</v>
      </c>
      <c r="Y88" s="50" t="s">
        <v>540</v>
      </c>
      <c r="Z88" s="46"/>
      <c r="AA88" s="46"/>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row>
    <row r="89" spans="1:52" ht="24" customHeight="1" thickBot="1">
      <c r="A89" s="36"/>
      <c r="B89" s="228"/>
      <c r="C89" s="220" t="s">
        <v>508</v>
      </c>
      <c r="D89" s="270">
        <f ca="1">MIN(OFFSET(家賃計算!$C$13,0,$X89),IF($D$66="1LDK",'近傍同種　RC造都計内'!$D$40*1000,IF($D$66="2LDK",'近傍同種　木造都計外'!$D$38*1000,IF($D$66="3LDK",'近傍同種　木造都計外'!$D$52*1000,0))))+
ROUNDDOWN(IF($AH$73="●",_xlfn.XLOOKUP("●",$AH$65:$AH$68,$AO$65:$AO$68,0,0,1),0)*
(IF($D$66="1LDK",'近傍同種　RC造都計内'!$D$40*1000,IF($D$66="2LDK",'近傍同種　木造都計外'!$D$38*1000,IF($D$66="3LDK",'近傍同種　木造都計外'!$D$52*1000,0)))-
MIN(OFFSET(家賃計算!$C$13,0,$X89),IF($D$66="1LDK",'近傍同種　RC造都計内'!$D$40*1000,IF($D$66="2LDK",'近傍同種　木造都計外'!$D$38*1000,IF($D$66="3LDK",'近傍同種　木造都計外'!$D$52*1000,0))))),
-2)</f>
        <v>0</v>
      </c>
      <c r="E89" s="271"/>
      <c r="F89" s="272"/>
      <c r="G89" s="266">
        <f t="shared" ca="1" si="2"/>
        <v>0</v>
      </c>
      <c r="H89" s="267"/>
      <c r="I89" s="237"/>
      <c r="J89" s="230"/>
      <c r="K89" s="230"/>
      <c r="L89" s="230"/>
      <c r="M89" s="230"/>
      <c r="N89" s="230"/>
      <c r="O89" s="230"/>
      <c r="P89" s="230"/>
      <c r="Q89" s="230"/>
      <c r="R89" s="230"/>
      <c r="S89" s="230"/>
      <c r="T89" s="230"/>
      <c r="U89" s="233"/>
      <c r="V89" s="83"/>
      <c r="W89" s="46"/>
      <c r="X89" s="38">
        <v>9</v>
      </c>
      <c r="Y89" s="50" t="s">
        <v>540</v>
      </c>
      <c r="Z89" s="46"/>
      <c r="AA89" s="46"/>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row>
    <row r="90" spans="1:52" ht="24" hidden="1" customHeight="1">
      <c r="A90" s="36"/>
      <c r="B90" s="228"/>
      <c r="C90" s="219" t="s">
        <v>512</v>
      </c>
      <c r="D90" s="260">
        <f ca="1">MIN(OFFSET(家賃計算!$C$13,0,$X90),IF($D$66="1LDK",'近傍同種　RC造都計内'!$D$40*1000,IF($D$66="2LDK",'近傍同種　木造都計外'!$D$38*1000,IF($D$66="3LDK",'近傍同種　木造都計外'!$D$52*1000,0))))+
ROUNDDOWN(IF($AH$73="●",_xlfn.XLOOKUP("●",$AH$65:$AH$68,$AO$65:$AO$68,0,0,1),0)*
(IF($D$66="1LDK",'近傍同種　RC造都計内'!$D$40*1000,IF($D$66="2LDK",'近傍同種　木造都計外'!$D$38*1000,IF($D$66="3LDK",'近傍同種　木造都計外'!$D$52*1000,0)))-
MIN(OFFSET(家賃計算!$C$13,0,$X90),IF($D$66="1LDK",'近傍同種　RC造都計内'!$D$40*1000,IF($D$66="2LDK",'近傍同種　木造都計外'!$D$38*1000,IF($D$66="3LDK",'近傍同種　木造都計外'!$D$52*1000,0))))),
-2)</f>
        <v>0</v>
      </c>
      <c r="E90" s="261"/>
      <c r="F90" s="262"/>
      <c r="G90" s="268">
        <f t="shared" ca="1" si="2"/>
        <v>0</v>
      </c>
      <c r="H90" s="269"/>
      <c r="I90" s="237"/>
      <c r="J90" s="230"/>
      <c r="K90" s="230"/>
      <c r="L90" s="230"/>
      <c r="M90" s="230"/>
      <c r="N90" s="230"/>
      <c r="O90" s="230"/>
      <c r="P90" s="230"/>
      <c r="Q90" s="230"/>
      <c r="R90" s="230"/>
      <c r="S90" s="230"/>
      <c r="T90" s="230"/>
      <c r="U90" s="233"/>
      <c r="V90" s="83"/>
      <c r="W90" s="46"/>
      <c r="X90" s="38">
        <v>10</v>
      </c>
      <c r="Y90" s="50" t="s">
        <v>540</v>
      </c>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row>
    <row r="91" spans="1:52" ht="24" hidden="1" customHeight="1">
      <c r="A91" s="36"/>
      <c r="B91" s="228"/>
      <c r="C91" s="186" t="s">
        <v>513</v>
      </c>
      <c r="D91" s="263">
        <f ca="1">MIN(OFFSET(家賃計算!$C$13,0,$X91),IF($D$66="1LDK",'近傍同種　RC造都計内'!$D$40*1000,IF($D$66="2LDK",'近傍同種　木造都計外'!$D$38*1000,IF($D$66="3LDK",'近傍同種　木造都計外'!$D$52*1000,0))))+
ROUNDDOWN(IF($AH$73="●",_xlfn.XLOOKUP("●",$AH$65:$AH$68,$AO$65:$AO$68,0,0,1),0)*
(IF($D$66="1LDK",'近傍同種　RC造都計内'!$D$40*1000,IF($D$66="2LDK",'近傍同種　木造都計外'!$D$38*1000,IF($D$66="3LDK",'近傍同種　木造都計外'!$D$52*1000,0)))-
MIN(OFFSET(家賃計算!$C$13,0,$X91),IF($D$66="1LDK",'近傍同種　RC造都計内'!$D$40*1000,IF($D$66="2LDK",'近傍同種　木造都計外'!$D$38*1000,IF($D$66="3LDK",'近傍同種　木造都計外'!$D$52*1000,0))))),
-2)</f>
        <v>0</v>
      </c>
      <c r="E91" s="264"/>
      <c r="F91" s="265"/>
      <c r="G91" s="245">
        <f t="shared" ca="1" si="2"/>
        <v>0</v>
      </c>
      <c r="H91" s="246"/>
      <c r="I91" s="237"/>
      <c r="J91" s="230"/>
      <c r="K91" s="230"/>
      <c r="L91" s="230"/>
      <c r="M91" s="230"/>
      <c r="N91" s="230"/>
      <c r="O91" s="230"/>
      <c r="P91" s="230"/>
      <c r="Q91" s="230"/>
      <c r="R91" s="230"/>
      <c r="S91" s="230"/>
      <c r="T91" s="230"/>
      <c r="U91" s="233"/>
      <c r="V91" s="83"/>
      <c r="W91" s="46"/>
      <c r="X91" s="38">
        <v>11</v>
      </c>
      <c r="Y91" s="50" t="s">
        <v>540</v>
      </c>
      <c r="Z91" s="46"/>
      <c r="AA91" s="46"/>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row>
    <row r="92" spans="1:52" ht="24" hidden="1" customHeight="1">
      <c r="A92" s="36"/>
      <c r="B92" s="228"/>
      <c r="C92" s="186" t="s">
        <v>514</v>
      </c>
      <c r="D92" s="263">
        <f ca="1">MIN(OFFSET(家賃計算!$C$13,0,$X92),IF($D$66="1LDK",'近傍同種　RC造都計内'!$D$40*1000,IF($D$66="2LDK",'近傍同種　木造都計外'!$D$38*1000,IF($D$66="3LDK",'近傍同種　木造都計外'!$D$52*1000,0))))+
ROUNDDOWN(IF($AH$73="●",_xlfn.XLOOKUP("●",$AH$65:$AH$68,$AO$65:$AO$68,0,0,1),0)*
(IF($D$66="1LDK",'近傍同種　RC造都計内'!$D$40*1000,IF($D$66="2LDK",'近傍同種　木造都計外'!$D$38*1000,IF($D$66="3LDK",'近傍同種　木造都計外'!$D$52*1000,0)))-
MIN(OFFSET(家賃計算!$C$13,0,$X92),IF($D$66="1LDK",'近傍同種　RC造都計内'!$D$40*1000,IF($D$66="2LDK",'近傍同種　木造都計外'!$D$38*1000,IF($D$66="3LDK",'近傍同種　木造都計外'!$D$52*1000,0))))),
-2)</f>
        <v>0</v>
      </c>
      <c r="E92" s="264"/>
      <c r="F92" s="265"/>
      <c r="G92" s="245">
        <f t="shared" ca="1" si="2"/>
        <v>0</v>
      </c>
      <c r="H92" s="246"/>
      <c r="I92" s="237"/>
      <c r="J92" s="230"/>
      <c r="K92" s="230"/>
      <c r="L92" s="230"/>
      <c r="M92" s="230"/>
      <c r="N92" s="230"/>
      <c r="O92" s="230"/>
      <c r="P92" s="230"/>
      <c r="Q92" s="230"/>
      <c r="R92" s="230"/>
      <c r="S92" s="230"/>
      <c r="T92" s="230"/>
      <c r="U92" s="233"/>
      <c r="V92" s="83"/>
      <c r="W92" s="46"/>
      <c r="X92" s="38">
        <v>12</v>
      </c>
      <c r="Y92" s="50" t="s">
        <v>540</v>
      </c>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row>
    <row r="93" spans="1:52" ht="24" hidden="1" customHeight="1">
      <c r="A93" s="36"/>
      <c r="B93" s="228"/>
      <c r="C93" s="186" t="s">
        <v>515</v>
      </c>
      <c r="D93" s="263">
        <f ca="1">MIN(OFFSET(家賃計算!$C$13,0,$X93),IF($D$66="1LDK",'近傍同種　RC造都計内'!$D$40*1000,IF($D$66="2LDK",'近傍同種　木造都計外'!$D$38*1000,IF($D$66="3LDK",'近傍同種　木造都計外'!$D$52*1000,0))))+
ROUNDDOWN(IF($AH$73="●",_xlfn.XLOOKUP("●",$AH$65:$AH$68,$AO$65:$AO$68,0,0,1),0)*
(IF($D$66="1LDK",'近傍同種　RC造都計内'!$D$40*1000,IF($D$66="2LDK",'近傍同種　木造都計外'!$D$38*1000,IF($D$66="3LDK",'近傍同種　木造都計外'!$D$52*1000,0)))-
MIN(OFFSET(家賃計算!$C$13,0,$X93),IF($D$66="1LDK",'近傍同種　RC造都計内'!$D$40*1000,IF($D$66="2LDK",'近傍同種　木造都計外'!$D$38*1000,IF($D$66="3LDK",'近傍同種　木造都計外'!$D$52*1000,0))))),
-2)</f>
        <v>0</v>
      </c>
      <c r="E93" s="264"/>
      <c r="F93" s="265"/>
      <c r="G93" s="245">
        <f t="shared" ca="1" si="2"/>
        <v>0</v>
      </c>
      <c r="H93" s="246"/>
      <c r="I93" s="237"/>
      <c r="J93" s="230"/>
      <c r="K93" s="230"/>
      <c r="L93" s="230"/>
      <c r="M93" s="230"/>
      <c r="N93" s="230"/>
      <c r="O93" s="230"/>
      <c r="P93" s="230"/>
      <c r="Q93" s="230"/>
      <c r="R93" s="230"/>
      <c r="S93" s="230"/>
      <c r="T93" s="230"/>
      <c r="U93" s="233"/>
      <c r="V93" s="83"/>
      <c r="W93" s="46"/>
      <c r="X93" s="38">
        <v>13</v>
      </c>
      <c r="Y93" s="50" t="s">
        <v>540</v>
      </c>
      <c r="Z93" s="46"/>
      <c r="AA93" s="46"/>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c r="AZ93" s="46"/>
    </row>
    <row r="94" spans="1:52" ht="24" customHeight="1" thickBot="1">
      <c r="A94" s="36"/>
      <c r="B94" s="228"/>
      <c r="C94" s="220" t="s">
        <v>509</v>
      </c>
      <c r="D94" s="270">
        <f ca="1">MIN(OFFSET(家賃計算!$C$13,0,$X94),IF($D$66="1LDK",'近傍同種　RC造都計内'!$D$40*1000,IF($D$66="2LDK",'近傍同種　木造都計外'!$D$38*1000,IF($D$66="3LDK",'近傍同種　木造都計外'!$D$52*1000,0))))+
ROUNDDOWN(IF($AH$73="●",_xlfn.XLOOKUP("●",$AH$65:$AH$68,$AO$65:$AO$68,0,0,1),0)*
(IF($D$66="1LDK",'近傍同種　RC造都計内'!$D$40*1000,IF($D$66="2LDK",'近傍同種　木造都計外'!$D$38*1000,IF($D$66="3LDK",'近傍同種　木造都計外'!$D$52*1000,0)))-
MIN(OFFSET(家賃計算!$C$13,0,$X94),IF($D$66="1LDK",'近傍同種　RC造都計内'!$D$40*1000,IF($D$66="2LDK",'近傍同種　木造都計外'!$D$38*1000,IF($D$66="3LDK",'近傍同種　木造都計外'!$D$52*1000,0))))),
-2)</f>
        <v>0</v>
      </c>
      <c r="E94" s="271"/>
      <c r="F94" s="272"/>
      <c r="G94" s="266">
        <f t="shared" ca="1" si="2"/>
        <v>0</v>
      </c>
      <c r="H94" s="267"/>
      <c r="I94" s="237"/>
      <c r="J94" s="230"/>
      <c r="K94" s="230"/>
      <c r="L94" s="230"/>
      <c r="M94" s="230"/>
      <c r="N94" s="230"/>
      <c r="O94" s="230"/>
      <c r="P94" s="230"/>
      <c r="Q94" s="230"/>
      <c r="R94" s="230"/>
      <c r="S94" s="230"/>
      <c r="T94" s="230"/>
      <c r="U94" s="233"/>
      <c r="V94" s="83"/>
      <c r="W94" s="46"/>
      <c r="X94" s="38">
        <v>14</v>
      </c>
      <c r="Y94" s="50" t="s">
        <v>540</v>
      </c>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row>
    <row r="95" spans="1:52" ht="24" hidden="1" customHeight="1">
      <c r="A95" s="36"/>
      <c r="B95" s="228"/>
      <c r="C95" s="219" t="s">
        <v>516</v>
      </c>
      <c r="D95" s="260">
        <f ca="1">MIN(OFFSET(家賃計算!$C$13,0,$X95),IF($D$66="1LDK",'近傍同種　RC造都計内'!$D$40*1000,IF($D$66="2LDK",'近傍同種　木造都計外'!$D$38*1000,IF($D$66="3LDK",'近傍同種　木造都計外'!$D$52*1000,0))))+
ROUNDDOWN(IF($AH$73="●",_xlfn.XLOOKUP("●",$AH$65:$AH$68,$AO$65:$AO$68,0,0,1),0)*
(IF($D$66="1LDK",'近傍同種　RC造都計内'!$D$40*1000,IF($D$66="2LDK",'近傍同種　木造都計外'!$D$38*1000,IF($D$66="3LDK",'近傍同種　木造都計外'!$D$52*1000,0)))-
MIN(OFFSET(家賃計算!$C$13,0,$X95),IF($D$66="1LDK",'近傍同種　RC造都計内'!$D$40*1000,IF($D$66="2LDK",'近傍同種　木造都計外'!$D$38*1000,IF($D$66="3LDK",'近傍同種　木造都計外'!$D$52*1000,0))))),
-2)</f>
        <v>0</v>
      </c>
      <c r="E95" s="261"/>
      <c r="F95" s="262"/>
      <c r="G95" s="268">
        <f t="shared" ca="1" si="2"/>
        <v>0</v>
      </c>
      <c r="H95" s="269"/>
      <c r="I95" s="237"/>
      <c r="J95" s="230"/>
      <c r="K95" s="230"/>
      <c r="L95" s="230"/>
      <c r="M95" s="230"/>
      <c r="N95" s="230"/>
      <c r="O95" s="230"/>
      <c r="P95" s="230"/>
      <c r="Q95" s="230"/>
      <c r="R95" s="230"/>
      <c r="S95" s="230"/>
      <c r="T95" s="230"/>
      <c r="U95" s="233"/>
      <c r="V95" s="83"/>
      <c r="W95" s="46"/>
      <c r="X95" s="38">
        <v>15</v>
      </c>
      <c r="Y95" s="50" t="s">
        <v>540</v>
      </c>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row>
    <row r="96" spans="1:52" ht="24" hidden="1" customHeight="1">
      <c r="A96" s="36"/>
      <c r="B96" s="228"/>
      <c r="C96" s="186" t="s">
        <v>517</v>
      </c>
      <c r="D96" s="263">
        <f ca="1">MIN(OFFSET(家賃計算!$C$13,0,$X96),IF($D$66="1LDK",'近傍同種　RC造都計内'!$D$40*1000,IF($D$66="2LDK",'近傍同種　木造都計外'!$D$38*1000,IF($D$66="3LDK",'近傍同種　木造都計外'!$D$52*1000,0))))+
ROUNDDOWN(IF($AH$73="●",_xlfn.XLOOKUP("●",$AH$65:$AH$68,$AO$65:$AO$68,0,0,1),0)*
(IF($D$66="1LDK",'近傍同種　RC造都計内'!$D$40*1000,IF($D$66="2LDK",'近傍同種　木造都計外'!$D$38*1000,IF($D$66="3LDK",'近傍同種　木造都計外'!$D$52*1000,0)))-
MIN(OFFSET(家賃計算!$C$13,0,$X96),IF($D$66="1LDK",'近傍同種　RC造都計内'!$D$40*1000,IF($D$66="2LDK",'近傍同種　木造都計外'!$D$38*1000,IF($D$66="3LDK",'近傍同種　木造都計外'!$D$52*1000,0))))),
-2)</f>
        <v>0</v>
      </c>
      <c r="E96" s="264"/>
      <c r="F96" s="265"/>
      <c r="G96" s="245">
        <f t="shared" ca="1" si="2"/>
        <v>0</v>
      </c>
      <c r="H96" s="246"/>
      <c r="I96" s="237"/>
      <c r="J96" s="230"/>
      <c r="K96" s="230"/>
      <c r="L96" s="230"/>
      <c r="M96" s="230"/>
      <c r="N96" s="230"/>
      <c r="O96" s="230"/>
      <c r="P96" s="230"/>
      <c r="Q96" s="230"/>
      <c r="R96" s="230"/>
      <c r="S96" s="230"/>
      <c r="T96" s="230"/>
      <c r="U96" s="233"/>
      <c r="V96" s="83"/>
      <c r="W96" s="46"/>
      <c r="X96" s="38">
        <v>16</v>
      </c>
      <c r="Y96" s="50" t="s">
        <v>540</v>
      </c>
      <c r="Z96" s="46"/>
      <c r="AA96" s="46"/>
      <c r="AB96" s="46"/>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row>
    <row r="97" spans="1:52" ht="24" hidden="1" customHeight="1">
      <c r="A97" s="36"/>
      <c r="B97" s="228"/>
      <c r="C97" s="186" t="s">
        <v>518</v>
      </c>
      <c r="D97" s="263">
        <f ca="1">MIN(OFFSET(家賃計算!$C$13,0,$X97),IF($D$66="1LDK",'近傍同種　RC造都計内'!$D$40*1000,IF($D$66="2LDK",'近傍同種　木造都計外'!$D$38*1000,IF($D$66="3LDK",'近傍同種　木造都計外'!$D$52*1000,0))))+
ROUNDDOWN(IF($AH$73="●",_xlfn.XLOOKUP("●",$AH$65:$AH$68,$AO$65:$AO$68,0,0,1),0)*
(IF($D$66="1LDK",'近傍同種　RC造都計内'!$D$40*1000,IF($D$66="2LDK",'近傍同種　木造都計外'!$D$38*1000,IF($D$66="3LDK",'近傍同種　木造都計外'!$D$52*1000,0)))-
MIN(OFFSET(家賃計算!$C$13,0,$X97),IF($D$66="1LDK",'近傍同種　RC造都計内'!$D$40*1000,IF($D$66="2LDK",'近傍同種　木造都計外'!$D$38*1000,IF($D$66="3LDK",'近傍同種　木造都計外'!$D$52*1000,0))))),
-2)</f>
        <v>0</v>
      </c>
      <c r="E97" s="264"/>
      <c r="F97" s="265"/>
      <c r="G97" s="245">
        <f t="shared" ca="1" si="2"/>
        <v>0</v>
      </c>
      <c r="H97" s="246"/>
      <c r="I97" s="237"/>
      <c r="J97" s="230"/>
      <c r="K97" s="230"/>
      <c r="L97" s="230"/>
      <c r="M97" s="230"/>
      <c r="N97" s="230"/>
      <c r="O97" s="230"/>
      <c r="P97" s="230"/>
      <c r="Q97" s="230"/>
      <c r="R97" s="230"/>
      <c r="S97" s="230"/>
      <c r="T97" s="230"/>
      <c r="U97" s="233"/>
      <c r="V97" s="83"/>
      <c r="W97" s="46"/>
      <c r="X97" s="38">
        <v>17</v>
      </c>
      <c r="Y97" s="50" t="s">
        <v>540</v>
      </c>
      <c r="Z97" s="46"/>
      <c r="AA97" s="46"/>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row>
    <row r="98" spans="1:52" ht="24" hidden="1" customHeight="1">
      <c r="A98" s="36"/>
      <c r="B98" s="228"/>
      <c r="C98" s="186" t="s">
        <v>519</v>
      </c>
      <c r="D98" s="263">
        <f ca="1">MIN(OFFSET(家賃計算!$C$13,0,$X98),IF($D$66="1LDK",'近傍同種　RC造都計内'!$D$40*1000,IF($D$66="2LDK",'近傍同種　木造都計外'!$D$38*1000,IF($D$66="3LDK",'近傍同種　木造都計外'!$D$52*1000,0))))+
ROUNDDOWN(IF($AH$73="●",_xlfn.XLOOKUP("●",$AH$65:$AH$68,$AO$65:$AO$68,0,0,1),0)*
(IF($D$66="1LDK",'近傍同種　RC造都計内'!$D$40*1000,IF($D$66="2LDK",'近傍同種　木造都計外'!$D$38*1000,IF($D$66="3LDK",'近傍同種　木造都計外'!$D$52*1000,0)))-
MIN(OFFSET(家賃計算!$C$13,0,$X98),IF($D$66="1LDK",'近傍同種　RC造都計内'!$D$40*1000,IF($D$66="2LDK",'近傍同種　木造都計外'!$D$38*1000,IF($D$66="3LDK",'近傍同種　木造都計外'!$D$52*1000,0))))),
-2)</f>
        <v>0</v>
      </c>
      <c r="E98" s="264"/>
      <c r="F98" s="265"/>
      <c r="G98" s="245">
        <f t="shared" ca="1" si="2"/>
        <v>0</v>
      </c>
      <c r="H98" s="246"/>
      <c r="I98" s="237"/>
      <c r="J98" s="230"/>
      <c r="K98" s="230"/>
      <c r="L98" s="230"/>
      <c r="M98" s="230"/>
      <c r="N98" s="230"/>
      <c r="O98" s="230"/>
      <c r="P98" s="230"/>
      <c r="Q98" s="230"/>
      <c r="R98" s="230"/>
      <c r="S98" s="230"/>
      <c r="T98" s="230"/>
      <c r="U98" s="233"/>
      <c r="V98" s="83"/>
      <c r="W98" s="46"/>
      <c r="X98" s="38">
        <v>18</v>
      </c>
      <c r="Y98" s="50" t="s">
        <v>540</v>
      </c>
      <c r="Z98" s="46"/>
      <c r="AA98" s="46"/>
      <c r="AB98" s="46"/>
      <c r="AC98" s="46"/>
      <c r="AD98" s="46"/>
      <c r="AE98" s="46"/>
      <c r="AF98" s="46"/>
      <c r="AG98" s="46"/>
      <c r="AH98" s="46"/>
      <c r="AI98" s="46"/>
      <c r="AJ98" s="46"/>
      <c r="AK98" s="46"/>
      <c r="AL98" s="46"/>
      <c r="AM98" s="46"/>
      <c r="AN98" s="46"/>
      <c r="AO98" s="46"/>
      <c r="AP98" s="46"/>
      <c r="AQ98" s="46"/>
      <c r="AR98" s="46"/>
      <c r="AS98" s="46"/>
      <c r="AT98" s="46"/>
      <c r="AU98" s="46"/>
      <c r="AV98" s="46"/>
      <c r="AW98" s="46"/>
      <c r="AX98" s="46"/>
      <c r="AY98" s="46"/>
      <c r="AZ98" s="46"/>
    </row>
    <row r="99" spans="1:52" ht="24" customHeight="1">
      <c r="A99" s="36"/>
      <c r="B99" s="228"/>
      <c r="C99" s="186" t="s">
        <v>510</v>
      </c>
      <c r="D99" s="263">
        <f ca="1">MIN(OFFSET(家賃計算!$C$13,0,$X99),IF($D$66="1LDK",'近傍同種　RC造都計内'!$D$40*1000,IF($D$66="2LDK",'近傍同種　木造都計外'!$D$38*1000,IF($D$66="3LDK",'近傍同種　木造都計外'!$D$52*1000,0))))+
ROUNDDOWN(IF($AH$73="●",_xlfn.XLOOKUP("●",$AH$65:$AH$68,$AO$65:$AO$68,0,0,1),0)*
(IF($D$66="1LDK",'近傍同種　RC造都計内'!$D$40*1000,IF($D$66="2LDK",'近傍同種　木造都計外'!$D$38*1000,IF($D$66="3LDK",'近傍同種　木造都計外'!$D$52*1000,0)))-
MIN(OFFSET(家賃計算!$C$13,0,$X99),IF($D$66="1LDK",'近傍同種　RC造都計内'!$D$40*1000,IF($D$66="2LDK",'近傍同種　木造都計外'!$D$38*1000,IF($D$66="3LDK",'近傍同種　木造都計外'!$D$52*1000,0))))),
-2)</f>
        <v>0</v>
      </c>
      <c r="E99" s="264"/>
      <c r="F99" s="265"/>
      <c r="G99" s="245">
        <f t="shared" ca="1" si="2"/>
        <v>0</v>
      </c>
      <c r="H99" s="246"/>
      <c r="I99" s="237"/>
      <c r="J99" s="230"/>
      <c r="K99" s="230"/>
      <c r="L99" s="230"/>
      <c r="M99" s="230"/>
      <c r="N99" s="230"/>
      <c r="O99" s="230"/>
      <c r="P99" s="230"/>
      <c r="Q99" s="230"/>
      <c r="R99" s="230"/>
      <c r="S99" s="230"/>
      <c r="T99" s="230"/>
      <c r="U99" s="233"/>
      <c r="V99" s="83"/>
      <c r="W99" s="46"/>
      <c r="X99" s="38">
        <v>19</v>
      </c>
      <c r="Y99" s="50" t="s">
        <v>540</v>
      </c>
      <c r="Z99" s="46"/>
      <c r="AA99" s="46"/>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row>
    <row r="100" spans="1:52" ht="10" customHeight="1">
      <c r="A100" s="36"/>
      <c r="B100" s="228"/>
      <c r="C100" s="231"/>
      <c r="D100" s="231"/>
      <c r="E100" s="231"/>
      <c r="F100" s="231"/>
      <c r="G100" s="231"/>
      <c r="H100" s="231"/>
      <c r="I100" s="231"/>
      <c r="J100" s="231"/>
      <c r="K100" s="231"/>
      <c r="L100" s="231"/>
      <c r="M100" s="231"/>
      <c r="N100" s="231"/>
      <c r="O100" s="231"/>
      <c r="P100" s="231"/>
      <c r="Q100" s="231"/>
      <c r="R100" s="231"/>
      <c r="S100" s="231"/>
      <c r="T100" s="231"/>
      <c r="U100" s="232"/>
      <c r="V100" s="3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c r="AZ100" s="46"/>
    </row>
    <row r="101" spans="1:52" ht="17.5">
      <c r="A101" s="36"/>
      <c r="B101" s="228"/>
      <c r="C101" s="239" t="s">
        <v>533</v>
      </c>
      <c r="D101" s="231"/>
      <c r="E101" s="231"/>
      <c r="F101" s="231"/>
      <c r="G101" s="231"/>
      <c r="H101" s="231"/>
      <c r="I101" s="231"/>
      <c r="J101" s="231"/>
      <c r="K101" s="231"/>
      <c r="L101" s="231"/>
      <c r="M101" s="231"/>
      <c r="N101" s="231"/>
      <c r="O101" s="231"/>
      <c r="P101" s="231"/>
      <c r="Q101" s="231"/>
      <c r="R101" s="231"/>
      <c r="S101" s="231"/>
      <c r="T101" s="231"/>
      <c r="U101" s="232"/>
      <c r="V101" s="3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row>
    <row r="102" spans="1:52" ht="17.5">
      <c r="A102" s="36"/>
      <c r="B102" s="228"/>
      <c r="C102" s="239" t="s">
        <v>541</v>
      </c>
      <c r="D102" s="231"/>
      <c r="E102" s="231"/>
      <c r="F102" s="231"/>
      <c r="G102" s="231"/>
      <c r="H102" s="231"/>
      <c r="I102" s="231"/>
      <c r="J102" s="231"/>
      <c r="K102" s="231"/>
      <c r="L102" s="231"/>
      <c r="M102" s="231"/>
      <c r="N102" s="231"/>
      <c r="O102" s="231"/>
      <c r="P102" s="231"/>
      <c r="Q102" s="231"/>
      <c r="R102" s="231"/>
      <c r="S102" s="231"/>
      <c r="T102" s="231"/>
      <c r="U102" s="232"/>
      <c r="V102" s="3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row>
    <row r="103" spans="1:52" ht="30" customHeight="1">
      <c r="A103" s="36"/>
      <c r="B103" s="229"/>
      <c r="C103" s="240" t="s">
        <v>542</v>
      </c>
      <c r="D103" s="235"/>
      <c r="E103" s="235"/>
      <c r="F103" s="235"/>
      <c r="G103" s="235"/>
      <c r="H103" s="235"/>
      <c r="I103" s="235"/>
      <c r="J103" s="235"/>
      <c r="K103" s="235"/>
      <c r="L103" s="235"/>
      <c r="M103" s="235"/>
      <c r="N103" s="235"/>
      <c r="O103" s="235"/>
      <c r="P103" s="235"/>
      <c r="Q103" s="235"/>
      <c r="R103" s="235"/>
      <c r="S103" s="235"/>
      <c r="T103" s="235"/>
      <c r="U103" s="234"/>
      <c r="V103" s="3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c r="AW103" s="46"/>
      <c r="AX103" s="46"/>
      <c r="AY103" s="46"/>
      <c r="AZ103" s="46"/>
    </row>
    <row r="104" spans="1:52" ht="20.149999999999999" customHeight="1">
      <c r="A104" s="36"/>
      <c r="B104" s="36"/>
      <c r="C104" s="36"/>
      <c r="D104" s="36"/>
      <c r="E104" s="36"/>
      <c r="F104" s="36"/>
      <c r="G104" s="36"/>
      <c r="H104" s="36"/>
      <c r="I104" s="36"/>
      <c r="J104" s="36"/>
      <c r="K104" s="36"/>
      <c r="L104" s="36"/>
      <c r="M104" s="36"/>
      <c r="N104" s="36"/>
      <c r="O104" s="36"/>
      <c r="P104" s="36"/>
      <c r="Q104" s="36"/>
      <c r="R104" s="36"/>
      <c r="S104" s="36"/>
      <c r="T104" s="36"/>
      <c r="U104" s="36"/>
      <c r="V104" s="36"/>
      <c r="W104" s="46"/>
      <c r="X104" s="46"/>
      <c r="Y104" s="46"/>
      <c r="Z104" s="46"/>
      <c r="AA104" s="46"/>
      <c r="AB104" s="46"/>
      <c r="AC104" s="46"/>
      <c r="AD104" s="46"/>
      <c r="AE104" s="46"/>
      <c r="AF104" s="46"/>
      <c r="AG104" s="46"/>
      <c r="AH104" s="46"/>
      <c r="AI104" s="46"/>
      <c r="AJ104" s="46"/>
      <c r="AK104" s="46"/>
      <c r="AL104" s="46"/>
      <c r="AM104" s="46"/>
      <c r="AN104" s="46"/>
      <c r="AO104" s="46"/>
      <c r="AP104" s="46"/>
      <c r="AQ104" s="46"/>
      <c r="AR104" s="46"/>
      <c r="AS104" s="46"/>
      <c r="AT104" s="46"/>
      <c r="AU104" s="46"/>
      <c r="AV104" s="46"/>
      <c r="AW104" s="46"/>
      <c r="AX104" s="46"/>
      <c r="AY104" s="46"/>
      <c r="AZ104" s="46"/>
    </row>
  </sheetData>
  <sheetProtection algorithmName="SHA-512" hashValue="bysctBC1mbnQy5UolLUOdPyvIDYNiosaGsgEpaLk2/Vh6C1/BMV4b5sEof6mNX7ysdbzG13LJXVB79G5oP6I+w==" saltValue="FFooKOC4WDHXjiVNX38P3Q==" spinCount="100000" sheet="1" objects="1" scenarios="1"/>
  <protectedRanges>
    <protectedRange sqref="E22 H22:I22 K22:M22 O22 Q22 S22 E24 H24:I24 K24:M24 O24 Q24 S24 E26 H26:I26 K26:M26 O26 Q26 S26" name="入力範囲4から6人目"/>
    <protectedRange sqref="E16 H16:I16 K16:M16 O16 Q16 S16 E18 H18:I18 K18:M18 O18 Q18 S18 E20 H20:I20 K20:M20 O20 Q20 S20" name="入力範囲1から3人目"/>
    <protectedRange sqref="M40:M41 M48 M50 M52 M54 M56 M58 D66:G66" name="入力範囲後半"/>
  </protectedRanges>
  <mergeCells count="65">
    <mergeCell ref="I69:K69"/>
    <mergeCell ref="D70:F70"/>
    <mergeCell ref="G70:H70"/>
    <mergeCell ref="I72:K72"/>
    <mergeCell ref="I71:K71"/>
    <mergeCell ref="I70:K70"/>
    <mergeCell ref="C77:C79"/>
    <mergeCell ref="R79:S79"/>
    <mergeCell ref="G77:H79"/>
    <mergeCell ref="D77:F79"/>
    <mergeCell ref="R78:S78"/>
    <mergeCell ref="R77:S77"/>
    <mergeCell ref="G99:H99"/>
    <mergeCell ref="AD29:AE43"/>
    <mergeCell ref="D99:F99"/>
    <mergeCell ref="G80:H80"/>
    <mergeCell ref="G81:H81"/>
    <mergeCell ref="G82:H82"/>
    <mergeCell ref="G83:H83"/>
    <mergeCell ref="G84:H84"/>
    <mergeCell ref="G85:H85"/>
    <mergeCell ref="G86:H86"/>
    <mergeCell ref="G87:H87"/>
    <mergeCell ref="G88:H88"/>
    <mergeCell ref="G89:H89"/>
    <mergeCell ref="G90:H90"/>
    <mergeCell ref="G91:H91"/>
    <mergeCell ref="G92:H92"/>
    <mergeCell ref="D93:F93"/>
    <mergeCell ref="D94:F94"/>
    <mergeCell ref="D80:F80"/>
    <mergeCell ref="D89:F89"/>
    <mergeCell ref="D88:F88"/>
    <mergeCell ref="D87:F87"/>
    <mergeCell ref="D86:F86"/>
    <mergeCell ref="D85:F85"/>
    <mergeCell ref="D84:F84"/>
    <mergeCell ref="D83:F83"/>
    <mergeCell ref="D82:F82"/>
    <mergeCell ref="D81:F81"/>
    <mergeCell ref="D95:F95"/>
    <mergeCell ref="D96:F96"/>
    <mergeCell ref="D97:F97"/>
    <mergeCell ref="D98:F98"/>
    <mergeCell ref="G94:H94"/>
    <mergeCell ref="G95:H95"/>
    <mergeCell ref="G96:H96"/>
    <mergeCell ref="G97:H97"/>
    <mergeCell ref="G98:H98"/>
    <mergeCell ref="G93:H93"/>
    <mergeCell ref="X13:X14"/>
    <mergeCell ref="C41:L41"/>
    <mergeCell ref="C40:L40"/>
    <mergeCell ref="D66:G66"/>
    <mergeCell ref="D72:F72"/>
    <mergeCell ref="D71:F71"/>
    <mergeCell ref="D69:F69"/>
    <mergeCell ref="G72:H72"/>
    <mergeCell ref="C13:C14"/>
    <mergeCell ref="E13:F14"/>
    <mergeCell ref="G71:H71"/>
    <mergeCell ref="G69:H69"/>
    <mergeCell ref="D90:F90"/>
    <mergeCell ref="D91:F91"/>
    <mergeCell ref="D92:F92"/>
  </mergeCells>
  <phoneticPr fontId="3"/>
  <conditionalFormatting sqref="C70:K70">
    <cfRule type="expression" dxfId="2" priority="1">
      <formula>$D$66=$C$70</formula>
    </cfRule>
  </conditionalFormatting>
  <conditionalFormatting sqref="C71:K71">
    <cfRule type="expression" dxfId="1" priority="2">
      <formula>$D$66=$C$71</formula>
    </cfRule>
  </conditionalFormatting>
  <conditionalFormatting sqref="C72:K72">
    <cfRule type="expression" dxfId="0" priority="3">
      <formula>$D$66=$C$72</formula>
    </cfRule>
  </conditionalFormatting>
  <dataValidations count="9">
    <dataValidation type="list" allowBlank="1" showInputMessage="1" showErrorMessage="1" sqref="H16:I16 H18:I18 H20:I20 H22:I22 H24:I24 H26:I26" xr:uid="{30A3551A-EB1D-4E74-9B43-423ACF725744}">
      <formula1>"○(該当),×(非該当)"</formula1>
    </dataValidation>
    <dataValidation type="list" allowBlank="1" showInputMessage="1" showErrorMessage="1" sqref="K16 K18 K20 K22 K24 K26" xr:uid="{8AD2DCDA-AF0E-47F2-8284-C1910457A785}">
      <formula1>"身体障害者手帳1級,身体障害者手帳2級,身体障害者手帳3級,身体障害者手帳4級,身体障害者手帳5級,身体障害者手帳6級,該当しない"</formula1>
    </dataValidation>
    <dataValidation type="list" allowBlank="1" showInputMessage="1" showErrorMessage="1" sqref="L16 L18 L20 L22 L24 L26" xr:uid="{BF18A9A8-1AE8-41BF-A976-B9AE402DD8F2}">
      <formula1>"療育手帳A,療育手帳B,該当しない"</formula1>
    </dataValidation>
    <dataValidation type="list" allowBlank="1" showInputMessage="1" showErrorMessage="1" sqref="M16 M18 M20 M22 M24 M26" xr:uid="{C74625F4-B614-4E91-BCBB-0E63CAEC4ABB}">
      <formula1>"精神障害者保健福祉手帳1級,精神障害者保健福祉手帳2級,精神障害者保健福祉手帳3級,該当しない"</formula1>
    </dataValidation>
    <dataValidation type="list" allowBlank="1" showInputMessage="1" showErrorMessage="1" sqref="M40:M41" xr:uid="{6008777D-8306-4A04-945F-5D36B3E47B20}">
      <formula1>"○(いる),×(いない)"</formula1>
    </dataValidation>
    <dataValidation type="whole" allowBlank="1" showInputMessage="1" showErrorMessage="1" sqref="M58 M56 M54 M52 M50 M48" xr:uid="{59938813-1BFA-4E17-A687-6AF160A193EA}">
      <formula1>0</formula1>
      <formula2>99999</formula2>
    </dataValidation>
    <dataValidation type="whole" allowBlank="1" showInputMessage="1" showErrorMessage="1" sqref="E16 E18 E20 E22 E24 E26" xr:uid="{DD7E82AB-C12C-42CE-8030-A678AC5FE7AB}">
      <formula1>0</formula1>
      <formula2>999</formula2>
    </dataValidation>
    <dataValidation type="whole" allowBlank="1" showInputMessage="1" showErrorMessage="1" sqref="O16 Q16 S16 S18 Q18 O18 O20 Q20 S20 S22 Q22 O22 O24 Q24 S24 S26 Q26 O26" xr:uid="{626E8F67-6660-415D-8161-2C6B80BA7805}">
      <formula1>0</formula1>
      <formula2>10000000000000000</formula2>
    </dataValidation>
    <dataValidation type="list" allowBlank="1" showInputMessage="1" showErrorMessage="1" sqref="D66:G66" xr:uid="{23D9A61D-F922-4FDD-BD80-46CF7B8E6400}">
      <formula1>"1LDK,2LDK,3LDK"</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406CC-0F42-4944-9646-03FE3882B9C4}">
  <dimension ref="A1:P70"/>
  <sheetViews>
    <sheetView workbookViewId="0"/>
  </sheetViews>
  <sheetFormatPr defaultColWidth="9" defaultRowHeight="18" customHeight="1"/>
  <cols>
    <col min="1" max="1" width="4.58203125" style="2" customWidth="1"/>
    <col min="2" max="3" width="8.58203125" style="2" customWidth="1"/>
    <col min="4" max="4" width="16.58203125" style="2" customWidth="1"/>
    <col min="5" max="5" width="10.58203125" style="2" customWidth="1"/>
    <col min="6" max="6" width="6.58203125" style="2" customWidth="1"/>
    <col min="7" max="7" width="10.58203125" style="2" customWidth="1"/>
    <col min="8" max="8" width="6.58203125" style="2" customWidth="1"/>
    <col min="9" max="9" width="10.58203125" style="2" customWidth="1"/>
    <col min="10" max="10" width="6.58203125" style="2" customWidth="1"/>
    <col min="11" max="11" width="10.58203125" style="2" customWidth="1"/>
    <col min="12" max="12" width="6.58203125" style="2" customWidth="1"/>
    <col min="13" max="13" width="10.58203125" style="2" customWidth="1"/>
    <col min="14" max="14" width="6.58203125" style="2" customWidth="1"/>
    <col min="15" max="15" width="10.58203125" style="2" customWidth="1"/>
    <col min="16" max="16" width="6.58203125" style="2" customWidth="1"/>
    <col min="17" max="16384" width="9" style="2"/>
  </cols>
  <sheetData>
    <row r="1" spans="1:16" s="19" customFormat="1" ht="18" customHeight="1">
      <c r="B1" s="5" t="s">
        <v>0</v>
      </c>
    </row>
    <row r="2" spans="1:16" ht="18" customHeight="1">
      <c r="A2" s="19"/>
      <c r="B2" s="11" t="s">
        <v>1</v>
      </c>
      <c r="C2" s="11"/>
      <c r="D2" s="12" t="s">
        <v>2</v>
      </c>
      <c r="E2" s="2">
        <v>0</v>
      </c>
      <c r="F2" s="2">
        <v>0</v>
      </c>
      <c r="G2" s="2">
        <v>2</v>
      </c>
      <c r="H2" s="2">
        <v>2</v>
      </c>
      <c r="I2" s="2">
        <v>4</v>
      </c>
      <c r="J2" s="2">
        <v>4</v>
      </c>
      <c r="K2" s="2">
        <v>6</v>
      </c>
      <c r="L2" s="2">
        <v>6</v>
      </c>
      <c r="M2" s="2">
        <v>8</v>
      </c>
      <c r="N2" s="2">
        <v>8</v>
      </c>
      <c r="O2" s="2">
        <v>10</v>
      </c>
      <c r="P2" s="2">
        <v>10</v>
      </c>
    </row>
    <row r="3" spans="1:16" ht="18" customHeight="1">
      <c r="A3" s="19"/>
      <c r="B3" s="13" t="s">
        <v>3</v>
      </c>
      <c r="C3" s="13" t="s">
        <v>4</v>
      </c>
      <c r="D3" s="14" t="s">
        <v>5</v>
      </c>
      <c r="E3" s="23" t="s">
        <v>49</v>
      </c>
      <c r="F3" s="23"/>
      <c r="G3" s="23" t="s">
        <v>42</v>
      </c>
      <c r="H3" s="23"/>
      <c r="I3" s="23" t="s">
        <v>43</v>
      </c>
      <c r="J3" s="23"/>
      <c r="K3" s="23" t="s">
        <v>44</v>
      </c>
      <c r="L3" s="23"/>
      <c r="M3" s="23" t="s">
        <v>45</v>
      </c>
      <c r="N3" s="23"/>
      <c r="O3" s="23" t="s">
        <v>46</v>
      </c>
      <c r="P3" s="23"/>
    </row>
    <row r="4" spans="1:16" ht="18" customHeight="1">
      <c r="A4" s="19"/>
      <c r="B4" s="3"/>
      <c r="C4" s="3">
        <v>550000</v>
      </c>
      <c r="D4" s="9">
        <v>0</v>
      </c>
      <c r="E4" s="3">
        <v>0</v>
      </c>
      <c r="F4" s="25" t="str">
        <f ca="1">IF(AND(OFFSET(家賃シミュレーションシート!$O$16,F$2,0)&lt;=$C4),"●","-")</f>
        <v>●</v>
      </c>
      <c r="G4" s="3">
        <v>0</v>
      </c>
      <c r="H4" s="25" t="str">
        <f ca="1">IF(AND(OFFSET(家賃シミュレーションシート!$O$16,H$2,0)&lt;=$C4),"●","-")</f>
        <v>●</v>
      </c>
      <c r="I4" s="3">
        <v>0</v>
      </c>
      <c r="J4" s="25" t="str">
        <f ca="1">IF(AND(OFFSET(家賃シミュレーションシート!$O$16,J$2,0)&lt;=$C4),"●","-")</f>
        <v>●</v>
      </c>
      <c r="K4" s="3">
        <v>0</v>
      </c>
      <c r="L4" s="25" t="str">
        <f ca="1">IF(AND(OFFSET(家賃シミュレーションシート!$O$16,L$2,0)&lt;=$C4),"●","-")</f>
        <v>●</v>
      </c>
      <c r="M4" s="3">
        <v>0</v>
      </c>
      <c r="N4" s="25" t="str">
        <f ca="1">IF(AND(OFFSET(家賃シミュレーションシート!$O$16,N$2,0)&lt;=$C4),"●","-")</f>
        <v>●</v>
      </c>
      <c r="O4" s="3">
        <v>0</v>
      </c>
      <c r="P4" s="25" t="str">
        <f ca="1">IF(AND(OFFSET(家賃シミュレーションシート!$O$16,P$2,0)&lt;=$C4),"●","-")</f>
        <v>●</v>
      </c>
    </row>
    <row r="5" spans="1:16" ht="18" customHeight="1">
      <c r="A5" s="19"/>
      <c r="B5" s="3">
        <v>550001</v>
      </c>
      <c r="C5" s="4">
        <v>1625000</v>
      </c>
      <c r="D5" s="9" t="s">
        <v>6</v>
      </c>
      <c r="E5" s="3">
        <f ca="1">OFFSET(家賃シミュレーションシート!$O$16,E$2,0)-550000</f>
        <v>-550000</v>
      </c>
      <c r="F5" s="25" t="str">
        <f ca="1">IF(AND(OFFSET(家賃シミュレーションシート!$O$16,F$2,0)&gt;=$B5,OFFSET(家賃シミュレーションシート!$O$16,F$2,0)&lt;=$C5),"●","-")</f>
        <v>-</v>
      </c>
      <c r="G5" s="3">
        <f ca="1">OFFSET(家賃シミュレーションシート!$O$16,G$2,0)-550000</f>
        <v>-550000</v>
      </c>
      <c r="H5" s="25" t="str">
        <f ca="1">IF(AND(OFFSET(家賃シミュレーションシート!$O$16,H$2,0)&gt;=$B5,OFFSET(家賃シミュレーションシート!$O$16,H$2,0)&lt;=$C5),"●","-")</f>
        <v>-</v>
      </c>
      <c r="I5" s="3">
        <f ca="1">OFFSET(家賃シミュレーションシート!$O$16,I$2,0)-550000</f>
        <v>-550000</v>
      </c>
      <c r="J5" s="25" t="str">
        <f ca="1">IF(AND(OFFSET(家賃シミュレーションシート!$O$16,J$2,0)&gt;=$B5,OFFSET(家賃シミュレーションシート!$O$16,J$2,0)&lt;=$C5),"●","-")</f>
        <v>-</v>
      </c>
      <c r="K5" s="3">
        <f ca="1">OFFSET(家賃シミュレーションシート!$O$16,K$2,0)-550000</f>
        <v>-550000</v>
      </c>
      <c r="L5" s="25" t="str">
        <f ca="1">IF(AND(OFFSET(家賃シミュレーションシート!$O$16,L$2,0)&gt;=$B5,OFFSET(家賃シミュレーションシート!$O$16,L$2,0)&lt;=$C5),"●","-")</f>
        <v>-</v>
      </c>
      <c r="M5" s="3">
        <f ca="1">OFFSET(家賃シミュレーションシート!$O$16,M$2,0)-550000</f>
        <v>-550000</v>
      </c>
      <c r="N5" s="25" t="str">
        <f ca="1">IF(AND(OFFSET(家賃シミュレーションシート!$O$16,N$2,0)&gt;=$B5,OFFSET(家賃シミュレーションシート!$O$16,N$2,0)&lt;=$C5),"●","-")</f>
        <v>-</v>
      </c>
      <c r="O5" s="3">
        <f ca="1">OFFSET(家賃シミュレーションシート!$O$16,O$2,0)-550000</f>
        <v>-550000</v>
      </c>
      <c r="P5" s="25" t="str">
        <f ca="1">IF(AND(OFFSET(家賃シミュレーションシート!$O$16,P$2,0)&gt;=$B5,OFFSET(家賃シミュレーションシート!$O$16,P$2,0)&lt;=$C5),"●","-")</f>
        <v>-</v>
      </c>
    </row>
    <row r="6" spans="1:16" ht="18" customHeight="1">
      <c r="A6" s="19"/>
      <c r="B6" s="4">
        <v>1625001</v>
      </c>
      <c r="C6" s="4">
        <v>1800000</v>
      </c>
      <c r="D6" s="10" t="s">
        <v>7</v>
      </c>
      <c r="E6" s="3">
        <f ca="1">OFFSET(家賃シミュレーションシート!$O$16,E$2,0)*0.6+100000</f>
        <v>100000</v>
      </c>
      <c r="F6" s="25" t="str">
        <f ca="1">IF(AND(OFFSET(家賃シミュレーションシート!$O$16,F$2,0)&gt;=$B6,OFFSET(家賃シミュレーションシート!$O$16,F$2,0)&lt;=$C6),"●","-")</f>
        <v>-</v>
      </c>
      <c r="G6" s="3">
        <f ca="1">OFFSET(家賃シミュレーションシート!$O$16,G$2,0)*0.6+100000</f>
        <v>100000</v>
      </c>
      <c r="H6" s="25" t="str">
        <f ca="1">IF(AND(OFFSET(家賃シミュレーションシート!$O$16,H$2,0)&gt;=$B6,OFFSET(家賃シミュレーションシート!$O$16,H$2,0)&lt;=$C6),"●","-")</f>
        <v>-</v>
      </c>
      <c r="I6" s="3">
        <f ca="1">OFFSET(家賃シミュレーションシート!$O$16,I$2,0)*0.6+100000</f>
        <v>100000</v>
      </c>
      <c r="J6" s="25" t="str">
        <f ca="1">IF(AND(OFFSET(家賃シミュレーションシート!$O$16,J$2,0)&gt;=$B6,OFFSET(家賃シミュレーションシート!$O$16,J$2,0)&lt;=$C6),"●","-")</f>
        <v>-</v>
      </c>
      <c r="K6" s="3">
        <f ca="1">OFFSET(家賃シミュレーションシート!$O$16,K$2,0)*0.6+100000</f>
        <v>100000</v>
      </c>
      <c r="L6" s="25" t="str">
        <f ca="1">IF(AND(OFFSET(家賃シミュレーションシート!$O$16,L$2,0)&gt;=$B6,OFFSET(家賃シミュレーションシート!$O$16,L$2,0)&lt;=$C6),"●","-")</f>
        <v>-</v>
      </c>
      <c r="M6" s="3">
        <f ca="1">OFFSET(家賃シミュレーションシート!$O$16,M$2,0)*0.6+100000</f>
        <v>100000</v>
      </c>
      <c r="N6" s="25" t="str">
        <f ca="1">IF(AND(OFFSET(家賃シミュレーションシート!$O$16,N$2,0)&gt;=$B6,OFFSET(家賃シミュレーションシート!$O$16,N$2,0)&lt;=$C6),"●","-")</f>
        <v>-</v>
      </c>
      <c r="O6" s="3">
        <f ca="1">OFFSET(家賃シミュレーションシート!$O$16,O$2,0)*0.6+100000</f>
        <v>100000</v>
      </c>
      <c r="P6" s="25" t="str">
        <f ca="1">IF(AND(OFFSET(家賃シミュレーションシート!$O$16,P$2,0)&gt;=$B6,OFFSET(家賃シミュレーションシート!$O$16,P$2,0)&lt;=$C6),"●","-")</f>
        <v>-</v>
      </c>
    </row>
    <row r="7" spans="1:16" ht="18" customHeight="1">
      <c r="A7" s="19"/>
      <c r="B7" s="4">
        <v>1800001</v>
      </c>
      <c r="C7" s="4">
        <v>3600000</v>
      </c>
      <c r="D7" s="10" t="s">
        <v>8</v>
      </c>
      <c r="E7" s="3">
        <f ca="1">OFFSET(家賃シミュレーションシート!$O$16,E$2,0)*0.7-80000</f>
        <v>-80000</v>
      </c>
      <c r="F7" s="25" t="str">
        <f ca="1">IF(AND(OFFSET(家賃シミュレーションシート!$O$16,F$2,0)&gt;=$B7,OFFSET(家賃シミュレーションシート!$O$16,F$2,0)&lt;=$C7),"●","-")</f>
        <v>-</v>
      </c>
      <c r="G7" s="3">
        <f ca="1">OFFSET(家賃シミュレーションシート!$O$16,G$2,0)*0.7-80000</f>
        <v>-80000</v>
      </c>
      <c r="H7" s="25" t="str">
        <f ca="1">IF(AND(OFFSET(家賃シミュレーションシート!$O$16,H$2,0)&gt;=$B7,OFFSET(家賃シミュレーションシート!$O$16,H$2,0)&lt;=$C7),"●","-")</f>
        <v>-</v>
      </c>
      <c r="I7" s="3">
        <f ca="1">OFFSET(家賃シミュレーションシート!$O$16,I$2,0)*0.7-80000</f>
        <v>-80000</v>
      </c>
      <c r="J7" s="25" t="str">
        <f ca="1">IF(AND(OFFSET(家賃シミュレーションシート!$O$16,J$2,0)&gt;=$B7,OFFSET(家賃シミュレーションシート!$O$16,J$2,0)&lt;=$C7),"●","-")</f>
        <v>-</v>
      </c>
      <c r="K7" s="3">
        <f ca="1">OFFSET(家賃シミュレーションシート!$O$16,K$2,0)*0.7-80000</f>
        <v>-80000</v>
      </c>
      <c r="L7" s="25" t="str">
        <f ca="1">IF(AND(OFFSET(家賃シミュレーションシート!$O$16,L$2,0)&gt;=$B7,OFFSET(家賃シミュレーションシート!$O$16,L$2,0)&lt;=$C7),"●","-")</f>
        <v>-</v>
      </c>
      <c r="M7" s="3">
        <f ca="1">OFFSET(家賃シミュレーションシート!$O$16,M$2,0)*0.7-80000</f>
        <v>-80000</v>
      </c>
      <c r="N7" s="25" t="str">
        <f ca="1">IF(AND(OFFSET(家賃シミュレーションシート!$O$16,N$2,0)&gt;=$B7,OFFSET(家賃シミュレーションシート!$O$16,N$2,0)&lt;=$C7),"●","-")</f>
        <v>-</v>
      </c>
      <c r="O7" s="3">
        <f ca="1">OFFSET(家賃シミュレーションシート!$O$16,O$2,0)*0.7-80000</f>
        <v>-80000</v>
      </c>
      <c r="P7" s="25" t="str">
        <f ca="1">IF(AND(OFFSET(家賃シミュレーションシート!$O$16,P$2,0)&gt;=$B7,OFFSET(家賃シミュレーションシート!$O$16,P$2,0)&lt;=$C7),"●","-")</f>
        <v>-</v>
      </c>
    </row>
    <row r="8" spans="1:16" ht="18" customHeight="1">
      <c r="A8" s="19"/>
      <c r="B8" s="4">
        <v>3600001</v>
      </c>
      <c r="C8" s="4">
        <v>6600000</v>
      </c>
      <c r="D8" s="10" t="s">
        <v>9</v>
      </c>
      <c r="E8" s="3">
        <f ca="1">OFFSET(家賃シミュレーションシート!$O$16,E$2,0)*0.8-440000</f>
        <v>-440000</v>
      </c>
      <c r="F8" s="25" t="str">
        <f ca="1">IF(AND(OFFSET(家賃シミュレーションシート!$O$16,F$2,0)&gt;=$B8,OFFSET(家賃シミュレーションシート!$O$16,F$2,0)&lt;=$C8),"●","-")</f>
        <v>-</v>
      </c>
      <c r="G8" s="3">
        <f ca="1">OFFSET(家賃シミュレーションシート!$O$16,G$2,0)*0.8-440000</f>
        <v>-440000</v>
      </c>
      <c r="H8" s="25" t="str">
        <f ca="1">IF(AND(OFFSET(家賃シミュレーションシート!$O$16,H$2,0)&gt;=$B8,OFFSET(家賃シミュレーションシート!$O$16,H$2,0)&lt;=$C8),"●","-")</f>
        <v>-</v>
      </c>
      <c r="I8" s="3">
        <f ca="1">OFFSET(家賃シミュレーションシート!$O$16,I$2,0)*0.8-440000</f>
        <v>-440000</v>
      </c>
      <c r="J8" s="25" t="str">
        <f ca="1">IF(AND(OFFSET(家賃シミュレーションシート!$O$16,J$2,0)&gt;=$B8,OFFSET(家賃シミュレーションシート!$O$16,J$2,0)&lt;=$C8),"●","-")</f>
        <v>-</v>
      </c>
      <c r="K8" s="3">
        <f ca="1">OFFSET(家賃シミュレーションシート!$O$16,K$2,0)*0.8-440000</f>
        <v>-440000</v>
      </c>
      <c r="L8" s="25" t="str">
        <f ca="1">IF(AND(OFFSET(家賃シミュレーションシート!$O$16,L$2,0)&gt;=$B8,OFFSET(家賃シミュレーションシート!$O$16,L$2,0)&lt;=$C8),"●","-")</f>
        <v>-</v>
      </c>
      <c r="M8" s="3">
        <f ca="1">OFFSET(家賃シミュレーションシート!$O$16,M$2,0)*0.8-440000</f>
        <v>-440000</v>
      </c>
      <c r="N8" s="25" t="str">
        <f ca="1">IF(AND(OFFSET(家賃シミュレーションシート!$O$16,N$2,0)&gt;=$B8,OFFSET(家賃シミュレーションシート!$O$16,N$2,0)&lt;=$C8),"●","-")</f>
        <v>-</v>
      </c>
      <c r="O8" s="3">
        <f ca="1">OFFSET(家賃シミュレーションシート!$O$16,O$2,0)*0.8-440000</f>
        <v>-440000</v>
      </c>
      <c r="P8" s="25" t="str">
        <f ca="1">IF(AND(OFFSET(家賃シミュレーションシート!$O$16,P$2,0)&gt;=$B8,OFFSET(家賃シミュレーションシート!$O$16,P$2,0)&lt;=$C8),"●","-")</f>
        <v>-</v>
      </c>
    </row>
    <row r="9" spans="1:16" ht="18" customHeight="1">
      <c r="A9" s="19"/>
      <c r="B9" s="4">
        <v>6600001</v>
      </c>
      <c r="C9" s="4">
        <v>8500000</v>
      </c>
      <c r="D9" s="10" t="s">
        <v>10</v>
      </c>
      <c r="E9" s="3">
        <f ca="1">OFFSET(家賃シミュレーションシート!$O$16,E$2,0)*0.9-1100000</f>
        <v>-1100000</v>
      </c>
      <c r="F9" s="25" t="str">
        <f ca="1">IF(AND(OFFSET(家賃シミュレーションシート!$O$16,F$2,0)&gt;=$B9,OFFSET(家賃シミュレーションシート!$O$16,F$2,0)&lt;=$C9),"●","-")</f>
        <v>-</v>
      </c>
      <c r="G9" s="3">
        <f ca="1">OFFSET(家賃シミュレーションシート!$O$16,G$2,0)*0.9-1100000</f>
        <v>-1100000</v>
      </c>
      <c r="H9" s="25" t="str">
        <f ca="1">IF(AND(OFFSET(家賃シミュレーションシート!$O$16,H$2,0)&gt;=$B9,OFFSET(家賃シミュレーションシート!$O$16,H$2,0)&lt;=$C9),"●","-")</f>
        <v>-</v>
      </c>
      <c r="I9" s="3">
        <f ca="1">OFFSET(家賃シミュレーションシート!$O$16,I$2,0)*0.9-1100000</f>
        <v>-1100000</v>
      </c>
      <c r="J9" s="25" t="str">
        <f ca="1">IF(AND(OFFSET(家賃シミュレーションシート!$O$16,J$2,0)&gt;=$B9,OFFSET(家賃シミュレーションシート!$O$16,J$2,0)&lt;=$C9),"●","-")</f>
        <v>-</v>
      </c>
      <c r="K9" s="3">
        <f ca="1">OFFSET(家賃シミュレーションシート!$O$16,K$2,0)*0.9-1100000</f>
        <v>-1100000</v>
      </c>
      <c r="L9" s="25" t="str">
        <f ca="1">IF(AND(OFFSET(家賃シミュレーションシート!$O$16,L$2,0)&gt;=$B9,OFFSET(家賃シミュレーションシート!$O$16,L$2,0)&lt;=$C9),"●","-")</f>
        <v>-</v>
      </c>
      <c r="M9" s="3">
        <f ca="1">OFFSET(家賃シミュレーションシート!$O$16,M$2,0)*0.9-1100000</f>
        <v>-1100000</v>
      </c>
      <c r="N9" s="25" t="str">
        <f ca="1">IF(AND(OFFSET(家賃シミュレーションシート!$O$16,N$2,0)&gt;=$B9,OFFSET(家賃シミュレーションシート!$O$16,N$2,0)&lt;=$C9),"●","-")</f>
        <v>-</v>
      </c>
      <c r="O9" s="3">
        <f ca="1">OFFSET(家賃シミュレーションシート!$O$16,O$2,0)*0.9-1100000</f>
        <v>-1100000</v>
      </c>
      <c r="P9" s="25" t="str">
        <f ca="1">IF(AND(OFFSET(家賃シミュレーションシート!$O$16,P$2,0)&gt;=$B9,OFFSET(家賃シミュレーションシート!$O$16,P$2,0)&lt;=$C9),"●","-")</f>
        <v>-</v>
      </c>
    </row>
    <row r="10" spans="1:16" ht="18" customHeight="1">
      <c r="A10" s="19"/>
      <c r="B10" s="4">
        <v>8500001</v>
      </c>
      <c r="C10" s="4"/>
      <c r="D10" s="10" t="s">
        <v>11</v>
      </c>
      <c r="E10" s="3">
        <f ca="1">OFFSET(家賃シミュレーションシート!$O$16,E$2,0)-1950000</f>
        <v>-1950000</v>
      </c>
      <c r="F10" s="25" t="str">
        <f ca="1">IF(AND(OFFSET(家賃シミュレーションシート!$O$16,F$2,0)&gt;=$B10),"●","-")</f>
        <v>-</v>
      </c>
      <c r="G10" s="3">
        <f ca="1">OFFSET(家賃シミュレーションシート!$O$16,G$2,0)-1950000</f>
        <v>-1950000</v>
      </c>
      <c r="H10" s="25" t="str">
        <f ca="1">IF(AND(OFFSET(家賃シミュレーションシート!$O$16,H$2,0)&gt;=$B10),"●","-")</f>
        <v>-</v>
      </c>
      <c r="I10" s="3">
        <f ca="1">OFFSET(家賃シミュレーションシート!$O$16,I$2,0)-1950000</f>
        <v>-1950000</v>
      </c>
      <c r="J10" s="25" t="str">
        <f ca="1">IF(AND(OFFSET(家賃シミュレーションシート!$O$16,J$2,0)&gt;=$B10),"●","-")</f>
        <v>-</v>
      </c>
      <c r="K10" s="3">
        <f ca="1">OFFSET(家賃シミュレーションシート!$O$16,K$2,0)-1950000</f>
        <v>-1950000</v>
      </c>
      <c r="L10" s="25" t="str">
        <f ca="1">IF(AND(OFFSET(家賃シミュレーションシート!$O$16,L$2,0)&gt;=$B10),"●","-")</f>
        <v>-</v>
      </c>
      <c r="M10" s="3">
        <f ca="1">OFFSET(家賃シミュレーションシート!$O$16,M$2,0)-1950000</f>
        <v>-1950000</v>
      </c>
      <c r="N10" s="25" t="str">
        <f ca="1">IF(AND(OFFSET(家賃シミュレーションシート!$O$16,N$2,0)&gt;=$B10),"●","-")</f>
        <v>-</v>
      </c>
      <c r="O10" s="3">
        <f ca="1">OFFSET(家賃シミュレーションシート!$O$16,O$2,0)-1950000</f>
        <v>-1950000</v>
      </c>
      <c r="P10" s="25" t="str">
        <f ca="1">IF(AND(OFFSET(家賃シミュレーションシート!$O$16,P$2,0)&gt;=$B10),"●","-")</f>
        <v>-</v>
      </c>
    </row>
    <row r="11" spans="1:16" s="18" customFormat="1" ht="18" customHeight="1">
      <c r="B11" s="6" t="s">
        <v>12</v>
      </c>
    </row>
    <row r="12" spans="1:16" s="18" customFormat="1" ht="18" customHeight="1">
      <c r="B12" s="6" t="s">
        <v>23</v>
      </c>
    </row>
    <row r="13" spans="1:16" ht="18" customHeight="1">
      <c r="A13" s="18"/>
      <c r="B13" s="1" t="s">
        <v>13</v>
      </c>
    </row>
    <row r="14" spans="1:16" ht="18" customHeight="1">
      <c r="A14" s="18"/>
      <c r="B14" s="11" t="s">
        <v>14</v>
      </c>
      <c r="C14" s="11"/>
      <c r="D14" s="15" t="s">
        <v>15</v>
      </c>
      <c r="E14" s="2">
        <v>0</v>
      </c>
      <c r="F14" s="2">
        <v>0</v>
      </c>
      <c r="G14" s="2">
        <v>2</v>
      </c>
      <c r="H14" s="2">
        <v>2</v>
      </c>
      <c r="I14" s="2">
        <v>4</v>
      </c>
      <c r="J14" s="2">
        <v>4</v>
      </c>
      <c r="K14" s="2">
        <v>6</v>
      </c>
      <c r="L14" s="2">
        <v>6</v>
      </c>
      <c r="M14" s="2">
        <v>8</v>
      </c>
      <c r="N14" s="2">
        <v>8</v>
      </c>
      <c r="O14" s="2">
        <v>10</v>
      </c>
      <c r="P14" s="2">
        <v>10</v>
      </c>
    </row>
    <row r="15" spans="1:16" ht="18" customHeight="1">
      <c r="A15" s="18"/>
      <c r="B15" s="13" t="s">
        <v>3</v>
      </c>
      <c r="C15" s="13" t="s">
        <v>4</v>
      </c>
      <c r="D15" s="14" t="s">
        <v>5</v>
      </c>
      <c r="E15" s="23" t="s">
        <v>49</v>
      </c>
      <c r="F15" s="23"/>
      <c r="G15" s="23" t="s">
        <v>42</v>
      </c>
      <c r="H15" s="23"/>
      <c r="I15" s="23" t="s">
        <v>43</v>
      </c>
      <c r="J15" s="23"/>
      <c r="K15" s="23" t="s">
        <v>44</v>
      </c>
      <c r="L15" s="23"/>
      <c r="M15" s="23" t="s">
        <v>45</v>
      </c>
      <c r="N15" s="23"/>
      <c r="O15" s="23" t="s">
        <v>46</v>
      </c>
      <c r="P15" s="23"/>
    </row>
    <row r="16" spans="1:16" ht="18" customHeight="1">
      <c r="A16" s="18"/>
      <c r="B16" s="3"/>
      <c r="C16" s="3">
        <v>600000</v>
      </c>
      <c r="D16" s="8">
        <v>0</v>
      </c>
      <c r="E16" s="3">
        <v>0</v>
      </c>
      <c r="F16" s="25" t="str">
        <f ca="1">IF(AND(OFFSET(家賃シミュレーションシート!$Q$16,F$14,0)&lt;=$C16,OFFSET(家賃シミュレーションシート!$O$16,F$14,0)+OFFSET(家賃シミュレーションシート!$S$16,F$14,0)&lt;=10000000,OFFSET(家賃シミュレーションシート!$E$16,F$14,0)&lt;65),"●","-")</f>
        <v>●</v>
      </c>
      <c r="G16" s="3">
        <v>0</v>
      </c>
      <c r="H16" s="25" t="str">
        <f ca="1">IF(AND(OFFSET(家賃シミュレーションシート!$Q$16,H$14,0)&lt;=$C16,OFFSET(家賃シミュレーションシート!$O$16,H$14,0)+OFFSET(家賃シミュレーションシート!$S$16,H$14,0)&lt;=10000000,OFFSET(家賃シミュレーションシート!$E$16,H$14,0)&lt;65),"●","-")</f>
        <v>●</v>
      </c>
      <c r="I16" s="3">
        <v>0</v>
      </c>
      <c r="J16" s="25" t="str">
        <f ca="1">IF(AND(OFFSET(家賃シミュレーションシート!$Q$16,J$14,0)&lt;=$C16,OFFSET(家賃シミュレーションシート!$O$16,J$14,0)+OFFSET(家賃シミュレーションシート!$S$16,J$14,0)&lt;=10000000,OFFSET(家賃シミュレーションシート!$E$16,J$14,0)&lt;65),"●","-")</f>
        <v>●</v>
      </c>
      <c r="K16" s="3">
        <v>0</v>
      </c>
      <c r="L16" s="25" t="str">
        <f ca="1">IF(AND(OFFSET(家賃シミュレーションシート!$Q$16,L$14,0)&lt;=$C16,OFFSET(家賃シミュレーションシート!$O$16,L$14,0)+OFFSET(家賃シミュレーションシート!$S$16,L$14,0)&lt;=10000000,OFFSET(家賃シミュレーションシート!$E$16,L$14,0)&lt;65),"●","-")</f>
        <v>●</v>
      </c>
      <c r="M16" s="3">
        <v>0</v>
      </c>
      <c r="N16" s="25" t="str">
        <f ca="1">IF(AND(OFFSET(家賃シミュレーションシート!$Q$16,N$14,0)&lt;=$C16,OFFSET(家賃シミュレーションシート!$O$16,N$14,0)+OFFSET(家賃シミュレーションシート!$S$16,N$14,0)&lt;=10000000,OFFSET(家賃シミュレーションシート!$E$16,N$14,0)&lt;65),"●","-")</f>
        <v>●</v>
      </c>
      <c r="O16" s="3">
        <v>0</v>
      </c>
      <c r="P16" s="25" t="str">
        <f ca="1">IF(AND(OFFSET(家賃シミュレーションシート!$Q$16,P$14,0)&lt;=$C16,OFFSET(家賃シミュレーションシート!$O$16,P$14,0)+OFFSET(家賃シミュレーションシート!$S$16,P$14,0)&lt;=10000000,OFFSET(家賃シミュレーションシート!$E$16,P$14,0)&lt;65),"●","-")</f>
        <v>●</v>
      </c>
    </row>
    <row r="17" spans="1:16" ht="18" customHeight="1">
      <c r="A17" s="18"/>
      <c r="B17" s="3">
        <v>600001</v>
      </c>
      <c r="C17" s="3">
        <v>1300000</v>
      </c>
      <c r="D17" s="8" t="s">
        <v>16</v>
      </c>
      <c r="E17" s="3">
        <f ca="1">OFFSET(家賃シミュレーションシート!$Q$16,E$14,0)-600000</f>
        <v>-600000</v>
      </c>
      <c r="F17" s="25" t="str">
        <f ca="1">IF(AND(OFFSET(家賃シミュレーションシート!$Q$16,F$14,0)&gt;=$B17,OFFSET(家賃シミュレーションシート!$Q$16,F$14,0)&lt;=$C17,OFFSET(家賃シミュレーションシート!$O$16,F$14,0)+OFFSET(家賃シミュレーションシート!$S$16,F$14,0)&lt;=10000000,OFFSET(家賃シミュレーションシート!$E$16,F$14,0)&lt;65),"●","-")</f>
        <v>-</v>
      </c>
      <c r="G17" s="3">
        <f ca="1">OFFSET(家賃シミュレーションシート!$Q$16,G$14,0)-600000</f>
        <v>-600000</v>
      </c>
      <c r="H17" s="25" t="str">
        <f ca="1">IF(AND(OFFSET(家賃シミュレーションシート!$Q$16,H$14,0)&gt;=$B17,OFFSET(家賃シミュレーションシート!$Q$16,H$14,0)&lt;=$C17,OFFSET(家賃シミュレーションシート!$O$16,H$14,0)+OFFSET(家賃シミュレーションシート!$S$16,H$14,0)&lt;=10000000,OFFSET(家賃シミュレーションシート!$E$16,H$14,0)&lt;65),"●","-")</f>
        <v>-</v>
      </c>
      <c r="I17" s="3">
        <f ca="1">OFFSET(家賃シミュレーションシート!$Q$16,I$14,0)-600000</f>
        <v>-600000</v>
      </c>
      <c r="J17" s="25" t="str">
        <f ca="1">IF(AND(OFFSET(家賃シミュレーションシート!$Q$16,J$14,0)&gt;=$B17,OFFSET(家賃シミュレーションシート!$Q$16,J$14,0)&lt;=$C17,OFFSET(家賃シミュレーションシート!$O$16,J$14,0)+OFFSET(家賃シミュレーションシート!$S$16,J$14,0)&lt;=10000000,OFFSET(家賃シミュレーションシート!$E$16,J$14,0)&lt;65),"●","-")</f>
        <v>-</v>
      </c>
      <c r="K17" s="3">
        <f ca="1">OFFSET(家賃シミュレーションシート!$Q$16,K$14,0)-600000</f>
        <v>-600000</v>
      </c>
      <c r="L17" s="25" t="str">
        <f ca="1">IF(AND(OFFSET(家賃シミュレーションシート!$Q$16,L$14,0)&gt;=$B17,OFFSET(家賃シミュレーションシート!$Q$16,L$14,0)&lt;=$C17,OFFSET(家賃シミュレーションシート!$O$16,L$14,0)+OFFSET(家賃シミュレーションシート!$S$16,L$14,0)&lt;=10000000,OFFSET(家賃シミュレーションシート!$E$16,L$14,0)&lt;65),"●","-")</f>
        <v>-</v>
      </c>
      <c r="M17" s="3">
        <f ca="1">OFFSET(家賃シミュレーションシート!$Q$16,M$14,0)-600000</f>
        <v>-600000</v>
      </c>
      <c r="N17" s="25" t="str">
        <f ca="1">IF(AND(OFFSET(家賃シミュレーションシート!$Q$16,N$14,0)&gt;=$B17,OFFSET(家賃シミュレーションシート!$Q$16,N$14,0)&lt;=$C17,OFFSET(家賃シミュレーションシート!$O$16,N$14,0)+OFFSET(家賃シミュレーションシート!$S$16,N$14,0)&lt;=10000000,OFFSET(家賃シミュレーションシート!$E$16,N$14,0)&lt;65),"●","-")</f>
        <v>-</v>
      </c>
      <c r="O17" s="3">
        <f ca="1">OFFSET(家賃シミュレーションシート!$Q$16,O$14,0)-600000</f>
        <v>-600000</v>
      </c>
      <c r="P17" s="25" t="str">
        <f ca="1">IF(AND(OFFSET(家賃シミュレーションシート!$Q$16,P$14,0)&gt;=$B17,OFFSET(家賃シミュレーションシート!$Q$16,P$14,0)&lt;=$C17,OFFSET(家賃シミュレーションシート!$O$16,P$14,0)+OFFSET(家賃シミュレーションシート!$S$16,P$14,0)&lt;=10000000,OFFSET(家賃シミュレーションシート!$E$16,P$14,0)&lt;65),"●","-")</f>
        <v>-</v>
      </c>
    </row>
    <row r="18" spans="1:16" ht="18" customHeight="1">
      <c r="A18" s="18"/>
      <c r="B18" s="3">
        <v>1300001</v>
      </c>
      <c r="C18" s="3">
        <v>4100000</v>
      </c>
      <c r="D18" s="8" t="s">
        <v>17</v>
      </c>
      <c r="E18" s="3">
        <f ca="1">OFFSET(家賃シミュレーションシート!$Q$16,E$14,0)*0.75-275000</f>
        <v>-275000</v>
      </c>
      <c r="F18" s="25" t="str">
        <f ca="1">IF(AND(OFFSET(家賃シミュレーションシート!$Q$16,F$14,0)&gt;=$B18,OFFSET(家賃シミュレーションシート!$Q$16,F$14,0)&lt;=$C18,OFFSET(家賃シミュレーションシート!$O$16,F$14,0)+OFFSET(家賃シミュレーションシート!$S$16,F$14,0)&lt;=10000000,OFFSET(家賃シミュレーションシート!$E$16,F$14,0)&lt;65),"●","-")</f>
        <v>-</v>
      </c>
      <c r="G18" s="3">
        <f ca="1">OFFSET(家賃シミュレーションシート!$Q$16,G$14,0)*0.75-275000</f>
        <v>-275000</v>
      </c>
      <c r="H18" s="25" t="str">
        <f ca="1">IF(AND(OFFSET(家賃シミュレーションシート!$Q$16,H$14,0)&gt;=$B18,OFFSET(家賃シミュレーションシート!$Q$16,H$14,0)&lt;=$C18,OFFSET(家賃シミュレーションシート!$O$16,H$14,0)+OFFSET(家賃シミュレーションシート!$S$16,H$14,0)&lt;=10000000,OFFSET(家賃シミュレーションシート!$E$16,H$14,0)&lt;65),"●","-")</f>
        <v>-</v>
      </c>
      <c r="I18" s="3">
        <f ca="1">OFFSET(家賃シミュレーションシート!$Q$16,I$14,0)*0.75-275000</f>
        <v>-275000</v>
      </c>
      <c r="J18" s="25" t="str">
        <f ca="1">IF(AND(OFFSET(家賃シミュレーションシート!$Q$16,J$14,0)&gt;=$B18,OFFSET(家賃シミュレーションシート!$Q$16,J$14,0)&lt;=$C18,OFFSET(家賃シミュレーションシート!$O$16,J$14,0)+OFFSET(家賃シミュレーションシート!$S$16,J$14,0)&lt;=10000000,OFFSET(家賃シミュレーションシート!$E$16,J$14,0)&lt;65),"●","-")</f>
        <v>-</v>
      </c>
      <c r="K18" s="3">
        <f ca="1">OFFSET(家賃シミュレーションシート!$Q$16,K$14,0)*0.75-275000</f>
        <v>-275000</v>
      </c>
      <c r="L18" s="25" t="str">
        <f ca="1">IF(AND(OFFSET(家賃シミュレーションシート!$Q$16,L$14,0)&gt;=$B18,OFFSET(家賃シミュレーションシート!$Q$16,L$14,0)&lt;=$C18,OFFSET(家賃シミュレーションシート!$O$16,L$14,0)+OFFSET(家賃シミュレーションシート!$S$16,L$14,0)&lt;=10000000,OFFSET(家賃シミュレーションシート!$E$16,L$14,0)&lt;65),"●","-")</f>
        <v>-</v>
      </c>
      <c r="M18" s="3">
        <f ca="1">OFFSET(家賃シミュレーションシート!$Q$16,M$14,0)*0.75-275000</f>
        <v>-275000</v>
      </c>
      <c r="N18" s="25" t="str">
        <f ca="1">IF(AND(OFFSET(家賃シミュレーションシート!$Q$16,N$14,0)&gt;=$B18,OFFSET(家賃シミュレーションシート!$Q$16,N$14,0)&lt;=$C18,OFFSET(家賃シミュレーションシート!$O$16,N$14,0)+OFFSET(家賃シミュレーションシート!$S$16,N$14,0)&lt;=10000000,OFFSET(家賃シミュレーションシート!$E$16,N$14,0)&lt;65),"●","-")</f>
        <v>-</v>
      </c>
      <c r="O18" s="3">
        <f ca="1">OFFSET(家賃シミュレーションシート!$Q$16,O$14,0)*0.75-275000</f>
        <v>-275000</v>
      </c>
      <c r="P18" s="25" t="str">
        <f ca="1">IF(AND(OFFSET(家賃シミュレーションシート!$Q$16,P$14,0)&gt;=$B18,OFFSET(家賃シミュレーションシート!$Q$16,P$14,0)&lt;=$C18,OFFSET(家賃シミュレーションシート!$O$16,P$14,0)+OFFSET(家賃シミュレーションシート!$S$16,P$14,0)&lt;=10000000,OFFSET(家賃シミュレーションシート!$E$16,P$14,0)&lt;65),"●","-")</f>
        <v>-</v>
      </c>
    </row>
    <row r="19" spans="1:16" ht="18" customHeight="1">
      <c r="A19" s="18"/>
      <c r="B19" s="3">
        <v>4100001</v>
      </c>
      <c r="C19" s="3">
        <v>7700000</v>
      </c>
      <c r="D19" s="8" t="s">
        <v>18</v>
      </c>
      <c r="E19" s="3">
        <f ca="1">OFFSET(家賃シミュレーションシート!$Q$16,E$14,0)*0.85-685000</f>
        <v>-685000</v>
      </c>
      <c r="F19" s="25" t="str">
        <f ca="1">IF(AND(OFFSET(家賃シミュレーションシート!$Q$16,F$14,0)&gt;=$B19,OFFSET(家賃シミュレーションシート!$Q$16,F$14,0)&lt;=$C19,OFFSET(家賃シミュレーションシート!$O$16,F$14,0)+OFFSET(家賃シミュレーションシート!$S$16,F$14,0)&lt;=10000000,OFFSET(家賃シミュレーションシート!$E$16,F$14,0)&lt;65),"●","-")</f>
        <v>-</v>
      </c>
      <c r="G19" s="3">
        <f ca="1">OFFSET(家賃シミュレーションシート!$Q$16,G$14,0)*0.85-685000</f>
        <v>-685000</v>
      </c>
      <c r="H19" s="25" t="str">
        <f ca="1">IF(AND(OFFSET(家賃シミュレーションシート!$Q$16,H$14,0)&gt;=$B19,OFFSET(家賃シミュレーションシート!$Q$16,H$14,0)&lt;=$C19,OFFSET(家賃シミュレーションシート!$O$16,H$14,0)+OFFSET(家賃シミュレーションシート!$S$16,H$14,0)&lt;=10000000,OFFSET(家賃シミュレーションシート!$E$16,H$14,0)&lt;65),"●","-")</f>
        <v>-</v>
      </c>
      <c r="I19" s="3">
        <f ca="1">OFFSET(家賃シミュレーションシート!$Q$16,I$14,0)*0.85-685000</f>
        <v>-685000</v>
      </c>
      <c r="J19" s="25" t="str">
        <f ca="1">IF(AND(OFFSET(家賃シミュレーションシート!$Q$16,J$14,0)&gt;=$B19,OFFSET(家賃シミュレーションシート!$Q$16,J$14,0)&lt;=$C19,OFFSET(家賃シミュレーションシート!$O$16,J$14,0)+OFFSET(家賃シミュレーションシート!$S$16,J$14,0)&lt;=10000000,OFFSET(家賃シミュレーションシート!$E$16,J$14,0)&lt;65),"●","-")</f>
        <v>-</v>
      </c>
      <c r="K19" s="3">
        <f ca="1">OFFSET(家賃シミュレーションシート!$Q$16,K$14,0)*0.85-685000</f>
        <v>-685000</v>
      </c>
      <c r="L19" s="25" t="str">
        <f ca="1">IF(AND(OFFSET(家賃シミュレーションシート!$Q$16,L$14,0)&gt;=$B19,OFFSET(家賃シミュレーションシート!$Q$16,L$14,0)&lt;=$C19,OFFSET(家賃シミュレーションシート!$O$16,L$14,0)+OFFSET(家賃シミュレーションシート!$S$16,L$14,0)&lt;=10000000,OFFSET(家賃シミュレーションシート!$E$16,L$14,0)&lt;65),"●","-")</f>
        <v>-</v>
      </c>
      <c r="M19" s="3">
        <f ca="1">OFFSET(家賃シミュレーションシート!$Q$16,M$14,0)*0.85-685000</f>
        <v>-685000</v>
      </c>
      <c r="N19" s="25" t="str">
        <f ca="1">IF(AND(OFFSET(家賃シミュレーションシート!$Q$16,N$14,0)&gt;=$B19,OFFSET(家賃シミュレーションシート!$Q$16,N$14,0)&lt;=$C19,OFFSET(家賃シミュレーションシート!$O$16,N$14,0)+OFFSET(家賃シミュレーションシート!$S$16,N$14,0)&lt;=10000000,OFFSET(家賃シミュレーションシート!$E$16,N$14,0)&lt;65),"●","-")</f>
        <v>-</v>
      </c>
      <c r="O19" s="3">
        <f ca="1">OFFSET(家賃シミュレーションシート!$Q$16,O$14,0)*0.85-685000</f>
        <v>-685000</v>
      </c>
      <c r="P19" s="25" t="str">
        <f ca="1">IF(AND(OFFSET(家賃シミュレーションシート!$Q$16,P$14,0)&gt;=$B19,OFFSET(家賃シミュレーションシート!$Q$16,P$14,0)&lt;=$C19,OFFSET(家賃シミュレーションシート!$O$16,P$14,0)+OFFSET(家賃シミュレーションシート!$S$16,P$14,0)&lt;=10000000,OFFSET(家賃シミュレーションシート!$E$16,P$14,0)&lt;65),"●","-")</f>
        <v>-</v>
      </c>
    </row>
    <row r="20" spans="1:16" ht="18" customHeight="1">
      <c r="A20" s="18"/>
      <c r="B20" s="3">
        <v>7700001</v>
      </c>
      <c r="C20" s="3">
        <v>10000000</v>
      </c>
      <c r="D20" s="8" t="s">
        <v>19</v>
      </c>
      <c r="E20" s="3">
        <f ca="1">OFFSET(家賃シミュレーションシート!$Q$16,E$14,0)*0.95-1455000</f>
        <v>-1455000</v>
      </c>
      <c r="F20" s="25" t="str">
        <f ca="1">IF(AND(OFFSET(家賃シミュレーションシート!$Q$16,F$14,0)&gt;=$B20,OFFSET(家賃シミュレーションシート!$Q$16,F$14,0)&lt;=$C20,OFFSET(家賃シミュレーションシート!$O$16,F$14,0)+OFFSET(家賃シミュレーションシート!$S$16,F$14,0)&lt;=10000000,OFFSET(家賃シミュレーションシート!$E$16,F$14,0)&lt;65),"●","-")</f>
        <v>-</v>
      </c>
      <c r="G20" s="3">
        <f ca="1">OFFSET(家賃シミュレーションシート!$Q$16,G$14,0)*0.95-1455000</f>
        <v>-1455000</v>
      </c>
      <c r="H20" s="25" t="str">
        <f ca="1">IF(AND(OFFSET(家賃シミュレーションシート!$Q$16,H$14,0)&gt;=$B20,OFFSET(家賃シミュレーションシート!$Q$16,H$14,0)&lt;=$C20,OFFSET(家賃シミュレーションシート!$O$16,H$14,0)+OFFSET(家賃シミュレーションシート!$S$16,H$14,0)&lt;=10000000,OFFSET(家賃シミュレーションシート!$E$16,H$14,0)&lt;65),"●","-")</f>
        <v>-</v>
      </c>
      <c r="I20" s="3">
        <f ca="1">OFFSET(家賃シミュレーションシート!$Q$16,I$14,0)*0.95-1455000</f>
        <v>-1455000</v>
      </c>
      <c r="J20" s="25" t="str">
        <f ca="1">IF(AND(OFFSET(家賃シミュレーションシート!$Q$16,J$14,0)&gt;=$B20,OFFSET(家賃シミュレーションシート!$Q$16,J$14,0)&lt;=$C20,OFFSET(家賃シミュレーションシート!$O$16,J$14,0)+OFFSET(家賃シミュレーションシート!$S$16,J$14,0)&lt;=10000000,OFFSET(家賃シミュレーションシート!$E$16,J$14,0)&lt;65),"●","-")</f>
        <v>-</v>
      </c>
      <c r="K20" s="3">
        <f ca="1">OFFSET(家賃シミュレーションシート!$Q$16,K$14,0)*0.95-1455000</f>
        <v>-1455000</v>
      </c>
      <c r="L20" s="25" t="str">
        <f ca="1">IF(AND(OFFSET(家賃シミュレーションシート!$Q$16,L$14,0)&gt;=$B20,OFFSET(家賃シミュレーションシート!$Q$16,L$14,0)&lt;=$C20,OFFSET(家賃シミュレーションシート!$O$16,L$14,0)+OFFSET(家賃シミュレーションシート!$S$16,L$14,0)&lt;=10000000,OFFSET(家賃シミュレーションシート!$E$16,L$14,0)&lt;65),"●","-")</f>
        <v>-</v>
      </c>
      <c r="M20" s="3">
        <f ca="1">OFFSET(家賃シミュレーションシート!$Q$16,M$14,0)*0.95-1455000</f>
        <v>-1455000</v>
      </c>
      <c r="N20" s="25" t="str">
        <f ca="1">IF(AND(OFFSET(家賃シミュレーションシート!$Q$16,N$14,0)&gt;=$B20,OFFSET(家賃シミュレーションシート!$Q$16,N$14,0)&lt;=$C20,OFFSET(家賃シミュレーションシート!$O$16,N$14,0)+OFFSET(家賃シミュレーションシート!$S$16,N$14,0)&lt;=10000000,OFFSET(家賃シミュレーションシート!$E$16,N$14,0)&lt;65),"●","-")</f>
        <v>-</v>
      </c>
      <c r="O20" s="3">
        <f ca="1">OFFSET(家賃シミュレーションシート!$Q$16,O$14,0)*0.95-1455000</f>
        <v>-1455000</v>
      </c>
      <c r="P20" s="25" t="str">
        <f ca="1">IF(AND(OFFSET(家賃シミュレーションシート!$Q$16,P$14,0)&gt;=$B20,OFFSET(家賃シミュレーションシート!$Q$16,P$14,0)&lt;=$C20,OFFSET(家賃シミュレーションシート!$O$16,P$14,0)+OFFSET(家賃シミュレーションシート!$S$16,P$14,0)&lt;=10000000,OFFSET(家賃シミュレーションシート!$E$16,P$14,0)&lt;65),"●","-")</f>
        <v>-</v>
      </c>
    </row>
    <row r="21" spans="1:16" ht="18" customHeight="1">
      <c r="A21" s="18"/>
      <c r="B21" s="3">
        <v>10000001</v>
      </c>
      <c r="C21" s="3"/>
      <c r="D21" s="8" t="s">
        <v>20</v>
      </c>
      <c r="E21" s="3">
        <f ca="1">OFFSET(家賃シミュレーションシート!$Q$16,E$14,0)-1955000</f>
        <v>-1955000</v>
      </c>
      <c r="F21" s="25" t="str">
        <f ca="1">IF(AND(OFFSET(家賃シミュレーションシート!$Q$16,F$14,0)&gt;=$B21,OFFSET(家賃シミュレーションシート!$O$16,F$14,0)+OFFSET(家賃シミュレーションシート!$S$16,F$14,0)&lt;=10000000,OFFSET(家賃シミュレーションシート!$E$16,F$14,0)&lt;65),"●","-")</f>
        <v>-</v>
      </c>
      <c r="G21" s="3">
        <f ca="1">OFFSET(家賃シミュレーションシート!$Q$16,G$14,0)-1955000</f>
        <v>-1955000</v>
      </c>
      <c r="H21" s="25" t="str">
        <f ca="1">IF(AND(OFFSET(家賃シミュレーションシート!$Q$16,H$14,0)&gt;=$B21,OFFSET(家賃シミュレーションシート!$O$16,H$14,0)+OFFSET(家賃シミュレーションシート!$S$16,H$14,0)&lt;=10000000,OFFSET(家賃シミュレーションシート!$E$16,H$14,0)&lt;65),"●","-")</f>
        <v>-</v>
      </c>
      <c r="I21" s="3">
        <f ca="1">OFFSET(家賃シミュレーションシート!$Q$16,I$14,0)-1955000</f>
        <v>-1955000</v>
      </c>
      <c r="J21" s="25" t="str">
        <f ca="1">IF(AND(OFFSET(家賃シミュレーションシート!$Q$16,J$14,0)&gt;=$B21,OFFSET(家賃シミュレーションシート!$O$16,J$14,0)+OFFSET(家賃シミュレーションシート!$S$16,J$14,0)&lt;=10000000,OFFSET(家賃シミュレーションシート!$E$16,J$14,0)&lt;65),"●","-")</f>
        <v>-</v>
      </c>
      <c r="K21" s="3">
        <f ca="1">OFFSET(家賃シミュレーションシート!$Q$16,K$14,0)-1955000</f>
        <v>-1955000</v>
      </c>
      <c r="L21" s="25" t="str">
        <f ca="1">IF(AND(OFFSET(家賃シミュレーションシート!$Q$16,L$14,0)&gt;=$B21,OFFSET(家賃シミュレーションシート!$O$16,L$14,0)+OFFSET(家賃シミュレーションシート!$S$16,L$14,0)&lt;=10000000,OFFSET(家賃シミュレーションシート!$E$16,L$14,0)&lt;65),"●","-")</f>
        <v>-</v>
      </c>
      <c r="M21" s="3">
        <f ca="1">OFFSET(家賃シミュレーションシート!$Q$16,M$14,0)-1955000</f>
        <v>-1955000</v>
      </c>
      <c r="N21" s="25" t="str">
        <f ca="1">IF(AND(OFFSET(家賃シミュレーションシート!$Q$16,N$14,0)&gt;=$B21,OFFSET(家賃シミュレーションシート!$O$16,N$14,0)+OFFSET(家賃シミュレーションシート!$S$16,N$14,0)&lt;=10000000,OFFSET(家賃シミュレーションシート!$E$16,N$14,0)&lt;65),"●","-")</f>
        <v>-</v>
      </c>
      <c r="O21" s="3">
        <f ca="1">OFFSET(家賃シミュレーションシート!$Q$16,O$14,0)-1955000</f>
        <v>-1955000</v>
      </c>
      <c r="P21" s="25" t="str">
        <f ca="1">IF(AND(OFFSET(家賃シミュレーションシート!$Q$16,P$14,0)&gt;=$B21,OFFSET(家賃シミュレーションシート!$O$16,P$14,0)+OFFSET(家賃シミュレーションシート!$S$16,P$14,0)&lt;=10000000,OFFSET(家賃シミュレーションシート!$E$16,P$14,0)&lt;65),"●","-")</f>
        <v>-</v>
      </c>
    </row>
    <row r="22" spans="1:16" ht="18" customHeight="1">
      <c r="A22" s="18"/>
      <c r="B22" s="1" t="s">
        <v>21</v>
      </c>
    </row>
    <row r="23" spans="1:16" ht="18" customHeight="1">
      <c r="A23" s="18"/>
      <c r="B23" s="11" t="s">
        <v>14</v>
      </c>
      <c r="C23" s="11"/>
      <c r="D23" s="15" t="s">
        <v>15</v>
      </c>
      <c r="E23" s="2">
        <v>0</v>
      </c>
      <c r="F23" s="2">
        <v>0</v>
      </c>
      <c r="G23" s="2">
        <v>2</v>
      </c>
      <c r="H23" s="2">
        <v>2</v>
      </c>
      <c r="I23" s="2">
        <v>4</v>
      </c>
      <c r="J23" s="2">
        <v>4</v>
      </c>
      <c r="K23" s="2">
        <v>6</v>
      </c>
      <c r="L23" s="2">
        <v>6</v>
      </c>
      <c r="M23" s="2">
        <v>8</v>
      </c>
      <c r="N23" s="2">
        <v>8</v>
      </c>
      <c r="O23" s="2">
        <v>10</v>
      </c>
      <c r="P23" s="2">
        <v>10</v>
      </c>
    </row>
    <row r="24" spans="1:16" ht="18" customHeight="1">
      <c r="A24" s="18"/>
      <c r="B24" s="13" t="s">
        <v>3</v>
      </c>
      <c r="C24" s="13" t="s">
        <v>4</v>
      </c>
      <c r="D24" s="14" t="s">
        <v>5</v>
      </c>
      <c r="E24" s="23" t="s">
        <v>49</v>
      </c>
      <c r="F24" s="23"/>
      <c r="G24" s="23" t="s">
        <v>42</v>
      </c>
      <c r="H24" s="23"/>
      <c r="I24" s="23" t="s">
        <v>43</v>
      </c>
      <c r="J24" s="23"/>
      <c r="K24" s="23" t="s">
        <v>44</v>
      </c>
      <c r="L24" s="23"/>
      <c r="M24" s="23" t="s">
        <v>45</v>
      </c>
      <c r="N24" s="23"/>
      <c r="O24" s="23" t="s">
        <v>46</v>
      </c>
      <c r="P24" s="23"/>
    </row>
    <row r="25" spans="1:16" ht="18" customHeight="1">
      <c r="A25" s="18"/>
      <c r="B25" s="3"/>
      <c r="C25" s="3">
        <v>1100000</v>
      </c>
      <c r="D25" s="8">
        <v>0</v>
      </c>
      <c r="E25" s="3">
        <v>0</v>
      </c>
      <c r="F25" s="25" t="str">
        <f ca="1">IF(AND(OFFSET(家賃シミュレーションシート!$Q$16,F$23,0)&lt;=$C25,OFFSET(家賃シミュレーションシート!$O$16,F$23,0)+OFFSET(家賃シミュレーションシート!$S$16,F$23,0)&lt;=10000000,OFFSET(家賃シミュレーションシート!$E$16,F$23,0)&gt;=65),"●","-")</f>
        <v>-</v>
      </c>
      <c r="G25" s="3">
        <v>0</v>
      </c>
      <c r="H25" s="25" t="str">
        <f ca="1">IF(AND(OFFSET(家賃シミュレーションシート!$Q$16,H$23,0)&lt;=$C25,OFFSET(家賃シミュレーションシート!$O$16,H$23,0)+OFFSET(家賃シミュレーションシート!$S$16,H$23,0)&lt;=10000000,OFFSET(家賃シミュレーションシート!$E$16,H$23,0)&gt;=65),"●","-")</f>
        <v>-</v>
      </c>
      <c r="I25" s="3">
        <v>0</v>
      </c>
      <c r="J25" s="25" t="str">
        <f ca="1">IF(AND(OFFSET(家賃シミュレーションシート!$Q$16,J$23,0)&lt;=$C25,OFFSET(家賃シミュレーションシート!$O$16,J$23,0)+OFFSET(家賃シミュレーションシート!$S$16,J$23,0)&lt;=10000000,OFFSET(家賃シミュレーションシート!$E$16,J$23,0)&gt;=65),"●","-")</f>
        <v>-</v>
      </c>
      <c r="K25" s="3">
        <v>0</v>
      </c>
      <c r="L25" s="25" t="str">
        <f ca="1">IF(AND(OFFSET(家賃シミュレーションシート!$Q$16,L$23,0)&lt;=$C25,OFFSET(家賃シミュレーションシート!$O$16,L$23,0)+OFFSET(家賃シミュレーションシート!$S$16,L$23,0)&lt;=10000000,OFFSET(家賃シミュレーションシート!$E$16,L$23,0)&gt;=65),"●","-")</f>
        <v>-</v>
      </c>
      <c r="M25" s="3">
        <v>0</v>
      </c>
      <c r="N25" s="25" t="str">
        <f ca="1">IF(AND(OFFSET(家賃シミュレーションシート!$Q$16,N$23,0)&lt;=$C25,OFFSET(家賃シミュレーションシート!$O$16,N$23,0)+OFFSET(家賃シミュレーションシート!$S$16,N$23,0)&lt;=10000000,OFFSET(家賃シミュレーションシート!$E$16,N$23,0)&gt;=65),"●","-")</f>
        <v>-</v>
      </c>
      <c r="O25" s="3">
        <v>0</v>
      </c>
      <c r="P25" s="25" t="str">
        <f ca="1">IF(AND(OFFSET(家賃シミュレーションシート!$Q$16,P$23,0)&lt;=$C25,OFFSET(家賃シミュレーションシート!$O$16,P$23,0)+OFFSET(家賃シミュレーションシート!$S$16,P$23,0)&lt;=10000000,OFFSET(家賃シミュレーションシート!$E$16,P$23,0)&gt;=65),"●","-")</f>
        <v>-</v>
      </c>
    </row>
    <row r="26" spans="1:16" ht="18" customHeight="1">
      <c r="A26" s="18"/>
      <c r="B26" s="3">
        <v>1100001</v>
      </c>
      <c r="C26" s="3">
        <v>3300000</v>
      </c>
      <c r="D26" s="8" t="s">
        <v>22</v>
      </c>
      <c r="E26" s="3">
        <f ca="1">OFFSET(家賃シミュレーションシート!$Q$16,E$23,0)-1100000</f>
        <v>-1100000</v>
      </c>
      <c r="F26" s="25" t="str">
        <f ca="1">IF(AND(OFFSET(家賃シミュレーションシート!$Q$16,F$23,0)&gt;=$B26,OFFSET(家賃シミュレーションシート!$Q$16,F$23,0)&lt;=$C26,OFFSET(家賃シミュレーションシート!$O$16,F$23,0)+OFFSET(家賃シミュレーションシート!$S$16,F$23,0)&lt;=10000000,OFFSET(家賃シミュレーションシート!$E$16,F$23,0)&gt;=65),"●","-")</f>
        <v>-</v>
      </c>
      <c r="G26" s="3">
        <f ca="1">OFFSET(家賃シミュレーションシート!$Q$16,G$14,0)-600000</f>
        <v>-600000</v>
      </c>
      <c r="H26" s="25" t="str">
        <f ca="1">IF(AND(OFFSET(家賃シミュレーションシート!$Q$16,H$23,0)&gt;=$B26,OFFSET(家賃シミュレーションシート!$Q$16,H$23,0)&lt;=$C26,OFFSET(家賃シミュレーションシート!$O$16,H$23,0)+OFFSET(家賃シミュレーションシート!$S$16,H$23,0)&lt;=10000000,OFFSET(家賃シミュレーションシート!$E$16,H$23,0)&gt;=65),"●","-")</f>
        <v>-</v>
      </c>
      <c r="I26" s="3">
        <f ca="1">OFFSET(家賃シミュレーションシート!$Q$16,I$14,0)-600000</f>
        <v>-600000</v>
      </c>
      <c r="J26" s="25" t="str">
        <f ca="1">IF(AND(OFFSET(家賃シミュレーションシート!$Q$16,J$23,0)&gt;=$B26,OFFSET(家賃シミュレーションシート!$Q$16,J$23,0)&lt;=$C26,OFFSET(家賃シミュレーションシート!$O$16,J$23,0)+OFFSET(家賃シミュレーションシート!$S$16,J$23,0)&lt;=10000000,OFFSET(家賃シミュレーションシート!$E$16,J$23,0)&gt;=65),"●","-")</f>
        <v>-</v>
      </c>
      <c r="K26" s="3">
        <f ca="1">OFFSET(家賃シミュレーションシート!$Q$16,K$14,0)-600000</f>
        <v>-600000</v>
      </c>
      <c r="L26" s="25" t="str">
        <f ca="1">IF(AND(OFFSET(家賃シミュレーションシート!$Q$16,L$23,0)&gt;=$B26,OFFSET(家賃シミュレーションシート!$Q$16,L$23,0)&lt;=$C26,OFFSET(家賃シミュレーションシート!$O$16,L$23,0)+OFFSET(家賃シミュレーションシート!$S$16,L$23,0)&lt;=10000000,OFFSET(家賃シミュレーションシート!$E$16,L$23,0)&gt;=65),"●","-")</f>
        <v>-</v>
      </c>
      <c r="M26" s="3">
        <f ca="1">OFFSET(家賃シミュレーションシート!$Q$16,M$14,0)-600000</f>
        <v>-600000</v>
      </c>
      <c r="N26" s="25" t="str">
        <f ca="1">IF(AND(OFFSET(家賃シミュレーションシート!$Q$16,N$23,0)&gt;=$B26,OFFSET(家賃シミュレーションシート!$Q$16,N$23,0)&lt;=$C26,OFFSET(家賃シミュレーションシート!$O$16,N$23,0)+OFFSET(家賃シミュレーションシート!$S$16,N$23,0)&lt;=10000000,OFFSET(家賃シミュレーションシート!$E$16,N$23,0)&gt;=65),"●","-")</f>
        <v>-</v>
      </c>
      <c r="O26" s="3">
        <f ca="1">OFFSET(家賃シミュレーションシート!$Q$16,O$14,0)-600000</f>
        <v>-600000</v>
      </c>
      <c r="P26" s="25" t="str">
        <f ca="1">IF(AND(OFFSET(家賃シミュレーションシート!$Q$16,P$23,0)&gt;=$B26,OFFSET(家賃シミュレーションシート!$Q$16,P$23,0)&lt;=$C26,OFFSET(家賃シミュレーションシート!$O$16,P$23,0)+OFFSET(家賃シミュレーションシート!$S$16,P$23,0)&lt;=10000000,OFFSET(家賃シミュレーションシート!$E$16,P$23,0)&gt;=65),"●","-")</f>
        <v>-</v>
      </c>
    </row>
    <row r="27" spans="1:16" ht="18" customHeight="1">
      <c r="A27" s="18"/>
      <c r="B27" s="3">
        <v>3300001</v>
      </c>
      <c r="C27" s="3">
        <v>4100000</v>
      </c>
      <c r="D27" s="8" t="s">
        <v>17</v>
      </c>
      <c r="E27" s="3">
        <f ca="1">OFFSET(家賃シミュレーションシート!$Q$16,E$23,0)*0.75-275000</f>
        <v>-275000</v>
      </c>
      <c r="F27" s="25" t="str">
        <f ca="1">IF(AND(OFFSET(家賃シミュレーションシート!$Q$16,F$23,0)&gt;=$B27,OFFSET(家賃シミュレーションシート!$Q$16,F$23,0)&lt;=$C27,OFFSET(家賃シミュレーションシート!$O$16,F$23,0)+OFFSET(家賃シミュレーションシート!$S$16,F$23,0)&lt;=10000000,OFFSET(家賃シミュレーションシート!$E$16,F$23,0)&gt;=65),"●","-")</f>
        <v>-</v>
      </c>
      <c r="G27" s="3">
        <f ca="1">OFFSET(家賃シミュレーションシート!$Q$16,G$14,0)*0.75-275000</f>
        <v>-275000</v>
      </c>
      <c r="H27" s="25" t="str">
        <f ca="1">IF(AND(OFFSET(家賃シミュレーションシート!$Q$16,H$23,0)&gt;=$B27,OFFSET(家賃シミュレーションシート!$Q$16,H$23,0)&lt;=$C27,OFFSET(家賃シミュレーションシート!$O$16,H$23,0)+OFFSET(家賃シミュレーションシート!$S$16,H$23,0)&lt;=10000000,OFFSET(家賃シミュレーションシート!$E$16,H$23,0)&gt;=65),"●","-")</f>
        <v>-</v>
      </c>
      <c r="I27" s="3">
        <f ca="1">OFFSET(家賃シミュレーションシート!$Q$16,I$14,0)*0.75-275000</f>
        <v>-275000</v>
      </c>
      <c r="J27" s="25" t="str">
        <f ca="1">IF(AND(OFFSET(家賃シミュレーションシート!$Q$16,J$23,0)&gt;=$B27,OFFSET(家賃シミュレーションシート!$Q$16,J$23,0)&lt;=$C27,OFFSET(家賃シミュレーションシート!$O$16,J$23,0)+OFFSET(家賃シミュレーションシート!$S$16,J$23,0)&lt;=10000000,OFFSET(家賃シミュレーションシート!$E$16,J$23,0)&gt;=65),"●","-")</f>
        <v>-</v>
      </c>
      <c r="K27" s="3">
        <f ca="1">OFFSET(家賃シミュレーションシート!$Q$16,K$14,0)*0.75-275000</f>
        <v>-275000</v>
      </c>
      <c r="L27" s="25" t="str">
        <f ca="1">IF(AND(OFFSET(家賃シミュレーションシート!$Q$16,L$23,0)&gt;=$B27,OFFSET(家賃シミュレーションシート!$Q$16,L$23,0)&lt;=$C27,OFFSET(家賃シミュレーションシート!$O$16,L$23,0)+OFFSET(家賃シミュレーションシート!$S$16,L$23,0)&lt;=10000000,OFFSET(家賃シミュレーションシート!$E$16,L$23,0)&gt;=65),"●","-")</f>
        <v>-</v>
      </c>
      <c r="M27" s="3">
        <f ca="1">OFFSET(家賃シミュレーションシート!$Q$16,M$14,0)*0.75-275000</f>
        <v>-275000</v>
      </c>
      <c r="N27" s="25" t="str">
        <f ca="1">IF(AND(OFFSET(家賃シミュレーションシート!$Q$16,N$23,0)&gt;=$B27,OFFSET(家賃シミュレーションシート!$Q$16,N$23,0)&lt;=$C27,OFFSET(家賃シミュレーションシート!$O$16,N$23,0)+OFFSET(家賃シミュレーションシート!$S$16,N$23,0)&lt;=10000000,OFFSET(家賃シミュレーションシート!$E$16,N$23,0)&gt;=65),"●","-")</f>
        <v>-</v>
      </c>
      <c r="O27" s="3">
        <f ca="1">OFFSET(家賃シミュレーションシート!$Q$16,O$14,0)*0.75-275000</f>
        <v>-275000</v>
      </c>
      <c r="P27" s="25" t="str">
        <f ca="1">IF(AND(OFFSET(家賃シミュレーションシート!$Q$16,P$23,0)&gt;=$B27,OFFSET(家賃シミュレーションシート!$Q$16,P$23,0)&lt;=$C27,OFFSET(家賃シミュレーションシート!$O$16,P$23,0)+OFFSET(家賃シミュレーションシート!$S$16,P$23,0)&lt;=10000000,OFFSET(家賃シミュレーションシート!$E$16,P$23,0)&gt;=65),"●","-")</f>
        <v>-</v>
      </c>
    </row>
    <row r="28" spans="1:16" ht="18" customHeight="1">
      <c r="A28" s="18"/>
      <c r="B28" s="3">
        <v>4100001</v>
      </c>
      <c r="C28" s="3">
        <v>7700000</v>
      </c>
      <c r="D28" s="8" t="s">
        <v>18</v>
      </c>
      <c r="E28" s="3">
        <f ca="1">OFFSET(家賃シミュレーションシート!$Q$16,E$23,0)*0.85-685000</f>
        <v>-685000</v>
      </c>
      <c r="F28" s="25" t="str">
        <f ca="1">IF(AND(OFFSET(家賃シミュレーションシート!$Q$16,F$23,0)&gt;=$B28,OFFSET(家賃シミュレーションシート!$Q$16,F$23,0)&lt;=$C28,OFFSET(家賃シミュレーションシート!$O$16,F$23,0)+OFFSET(家賃シミュレーションシート!$S$16,F$23,0)&lt;=10000000,OFFSET(家賃シミュレーションシート!$E$16,F$23,0)&gt;=65),"●","-")</f>
        <v>-</v>
      </c>
      <c r="G28" s="3">
        <f ca="1">OFFSET(家賃シミュレーションシート!$Q$16,G$14,0)*0.85-685000</f>
        <v>-685000</v>
      </c>
      <c r="H28" s="25" t="str">
        <f ca="1">IF(AND(OFFSET(家賃シミュレーションシート!$Q$16,H$23,0)&gt;=$B28,OFFSET(家賃シミュレーションシート!$Q$16,H$23,0)&lt;=$C28,OFFSET(家賃シミュレーションシート!$O$16,H$23,0)+OFFSET(家賃シミュレーションシート!$S$16,H$23,0)&lt;=10000000,OFFSET(家賃シミュレーションシート!$E$16,H$23,0)&gt;=65),"●","-")</f>
        <v>-</v>
      </c>
      <c r="I28" s="3">
        <f ca="1">OFFSET(家賃シミュレーションシート!$Q$16,I$14,0)*0.85-685000</f>
        <v>-685000</v>
      </c>
      <c r="J28" s="25" t="str">
        <f ca="1">IF(AND(OFFSET(家賃シミュレーションシート!$Q$16,J$23,0)&gt;=$B28,OFFSET(家賃シミュレーションシート!$Q$16,J$23,0)&lt;=$C28,OFFSET(家賃シミュレーションシート!$O$16,J$23,0)+OFFSET(家賃シミュレーションシート!$S$16,J$23,0)&lt;=10000000,OFFSET(家賃シミュレーションシート!$E$16,J$23,0)&gt;=65),"●","-")</f>
        <v>-</v>
      </c>
      <c r="K28" s="3">
        <f ca="1">OFFSET(家賃シミュレーションシート!$Q$16,K$14,0)*0.85-685000</f>
        <v>-685000</v>
      </c>
      <c r="L28" s="25" t="str">
        <f ca="1">IF(AND(OFFSET(家賃シミュレーションシート!$Q$16,L$23,0)&gt;=$B28,OFFSET(家賃シミュレーションシート!$Q$16,L$23,0)&lt;=$C28,OFFSET(家賃シミュレーションシート!$O$16,L$23,0)+OFFSET(家賃シミュレーションシート!$S$16,L$23,0)&lt;=10000000,OFFSET(家賃シミュレーションシート!$E$16,L$23,0)&gt;=65),"●","-")</f>
        <v>-</v>
      </c>
      <c r="M28" s="3">
        <f ca="1">OFFSET(家賃シミュレーションシート!$Q$16,M$14,0)*0.85-685000</f>
        <v>-685000</v>
      </c>
      <c r="N28" s="25" t="str">
        <f ca="1">IF(AND(OFFSET(家賃シミュレーションシート!$Q$16,N$23,0)&gt;=$B28,OFFSET(家賃シミュレーションシート!$Q$16,N$23,0)&lt;=$C28,OFFSET(家賃シミュレーションシート!$O$16,N$23,0)+OFFSET(家賃シミュレーションシート!$S$16,N$23,0)&lt;=10000000,OFFSET(家賃シミュレーションシート!$E$16,N$23,0)&gt;=65),"●","-")</f>
        <v>-</v>
      </c>
      <c r="O28" s="3">
        <f ca="1">OFFSET(家賃シミュレーションシート!$Q$16,O$14,0)*0.85-685000</f>
        <v>-685000</v>
      </c>
      <c r="P28" s="25" t="str">
        <f ca="1">IF(AND(OFFSET(家賃シミュレーションシート!$Q$16,P$23,0)&gt;=$B28,OFFSET(家賃シミュレーションシート!$Q$16,P$23,0)&lt;=$C28,OFFSET(家賃シミュレーションシート!$O$16,P$23,0)+OFFSET(家賃シミュレーションシート!$S$16,P$23,0)&lt;=10000000,OFFSET(家賃シミュレーションシート!$E$16,P$23,0)&gt;=65),"●","-")</f>
        <v>-</v>
      </c>
    </row>
    <row r="29" spans="1:16" ht="18" customHeight="1">
      <c r="A29" s="18"/>
      <c r="B29" s="3">
        <v>7700001</v>
      </c>
      <c r="C29" s="3">
        <v>10000000</v>
      </c>
      <c r="D29" s="8" t="s">
        <v>19</v>
      </c>
      <c r="E29" s="3">
        <f ca="1">OFFSET(家賃シミュレーションシート!$Q$16,E$23,0)*0.95-1455000</f>
        <v>-1455000</v>
      </c>
      <c r="F29" s="25" t="str">
        <f ca="1">IF(AND(OFFSET(家賃シミュレーションシート!$Q$16,F$23,0)&gt;=$B29,OFFSET(家賃シミュレーションシート!$Q$16,F$23,0)&lt;=$C29,OFFSET(家賃シミュレーションシート!$O$16,F$23,0)+OFFSET(家賃シミュレーションシート!$S$16,F$23,0)&lt;=10000000,OFFSET(家賃シミュレーションシート!$E$16,F$23,0)&gt;=65),"●","-")</f>
        <v>-</v>
      </c>
      <c r="G29" s="3">
        <f ca="1">OFFSET(家賃シミュレーションシート!$Q$16,G$14,0)*0.95-1455000</f>
        <v>-1455000</v>
      </c>
      <c r="H29" s="25" t="str">
        <f ca="1">IF(AND(OFFSET(家賃シミュレーションシート!$Q$16,H$23,0)&gt;=$B29,OFFSET(家賃シミュレーションシート!$Q$16,H$23,0)&lt;=$C29,OFFSET(家賃シミュレーションシート!$O$16,H$23,0)+OFFSET(家賃シミュレーションシート!$S$16,H$23,0)&lt;=10000000,OFFSET(家賃シミュレーションシート!$E$16,H$23,0)&gt;=65),"●","-")</f>
        <v>-</v>
      </c>
      <c r="I29" s="3">
        <f ca="1">OFFSET(家賃シミュレーションシート!$Q$16,I$14,0)*0.95-1455000</f>
        <v>-1455000</v>
      </c>
      <c r="J29" s="25" t="str">
        <f ca="1">IF(AND(OFFSET(家賃シミュレーションシート!$Q$16,J$23,0)&gt;=$B29,OFFSET(家賃シミュレーションシート!$Q$16,J$23,0)&lt;=$C29,OFFSET(家賃シミュレーションシート!$O$16,J$23,0)+OFFSET(家賃シミュレーションシート!$S$16,J$23,0)&lt;=10000000,OFFSET(家賃シミュレーションシート!$E$16,J$23,0)&gt;=65),"●","-")</f>
        <v>-</v>
      </c>
      <c r="K29" s="3">
        <f ca="1">OFFSET(家賃シミュレーションシート!$Q$16,K$14,0)*0.95-1455000</f>
        <v>-1455000</v>
      </c>
      <c r="L29" s="25" t="str">
        <f ca="1">IF(AND(OFFSET(家賃シミュレーションシート!$Q$16,L$23,0)&gt;=$B29,OFFSET(家賃シミュレーションシート!$Q$16,L$23,0)&lt;=$C29,OFFSET(家賃シミュレーションシート!$O$16,L$23,0)+OFFSET(家賃シミュレーションシート!$S$16,L$23,0)&lt;=10000000,OFFSET(家賃シミュレーションシート!$E$16,L$23,0)&gt;=65),"●","-")</f>
        <v>-</v>
      </c>
      <c r="M29" s="3">
        <f ca="1">OFFSET(家賃シミュレーションシート!$Q$16,M$14,0)*0.95-1455000</f>
        <v>-1455000</v>
      </c>
      <c r="N29" s="25" t="str">
        <f ca="1">IF(AND(OFFSET(家賃シミュレーションシート!$Q$16,N$23,0)&gt;=$B29,OFFSET(家賃シミュレーションシート!$Q$16,N$23,0)&lt;=$C29,OFFSET(家賃シミュレーションシート!$O$16,N$23,0)+OFFSET(家賃シミュレーションシート!$S$16,N$23,0)&lt;=10000000,OFFSET(家賃シミュレーションシート!$E$16,N$23,0)&gt;=65),"●","-")</f>
        <v>-</v>
      </c>
      <c r="O29" s="3">
        <f ca="1">OFFSET(家賃シミュレーションシート!$Q$16,O$14,0)*0.95-1455000</f>
        <v>-1455000</v>
      </c>
      <c r="P29" s="25" t="str">
        <f ca="1">IF(AND(OFFSET(家賃シミュレーションシート!$Q$16,P$23,0)&gt;=$B29,OFFSET(家賃シミュレーションシート!$Q$16,P$23,0)&lt;=$C29,OFFSET(家賃シミュレーションシート!$O$16,P$23,0)+OFFSET(家賃シミュレーションシート!$S$16,P$23,0)&lt;=10000000,OFFSET(家賃シミュレーションシート!$E$16,P$23,0)&gt;=65),"●","-")</f>
        <v>-</v>
      </c>
    </row>
    <row r="30" spans="1:16" ht="18" customHeight="1">
      <c r="A30" s="18"/>
      <c r="B30" s="3">
        <v>10000001</v>
      </c>
      <c r="C30" s="3"/>
      <c r="D30" s="8" t="s">
        <v>20</v>
      </c>
      <c r="E30" s="3">
        <f ca="1">OFFSET(家賃シミュレーションシート!$Q$16,E$23,0)-1955000</f>
        <v>-1955000</v>
      </c>
      <c r="F30" s="25" t="str">
        <f ca="1">IF(AND(OFFSET(家賃シミュレーションシート!$Q$16,F$23,0)&gt;=$B30,OFFSET(家賃シミュレーションシート!$O$16,F$23,0)+OFFSET(家賃シミュレーションシート!$S$16,F$23,0)&lt;=10000000,OFFSET(家賃シミュレーションシート!$E$16,F$23,0)&gt;=65),"●","-")</f>
        <v>-</v>
      </c>
      <c r="G30" s="3">
        <f ca="1">OFFSET(家賃シミュレーションシート!$Q$16,G$14,0)-1955000</f>
        <v>-1955000</v>
      </c>
      <c r="H30" s="25" t="str">
        <f ca="1">IF(AND(OFFSET(家賃シミュレーションシート!$Q$16,H$23,0)&gt;=$B30,OFFSET(家賃シミュレーションシート!$O$16,H$23,0)+OFFSET(家賃シミュレーションシート!$S$16,H$23,0)&lt;=10000000,OFFSET(家賃シミュレーションシート!$E$16,H$23,0)&gt;=65),"●","-")</f>
        <v>-</v>
      </c>
      <c r="I30" s="3">
        <f ca="1">OFFSET(家賃シミュレーションシート!$Q$16,I$14,0)-1955000</f>
        <v>-1955000</v>
      </c>
      <c r="J30" s="25" t="str">
        <f ca="1">IF(AND(OFFSET(家賃シミュレーションシート!$Q$16,J$23,0)&gt;=$B30,OFFSET(家賃シミュレーションシート!$O$16,J$23,0)+OFFSET(家賃シミュレーションシート!$S$16,J$23,0)&lt;=10000000,OFFSET(家賃シミュレーションシート!$E$16,J$23,0)&gt;=65),"●","-")</f>
        <v>-</v>
      </c>
      <c r="K30" s="3">
        <f ca="1">OFFSET(家賃シミュレーションシート!$Q$16,K$14,0)-1955000</f>
        <v>-1955000</v>
      </c>
      <c r="L30" s="25" t="str">
        <f ca="1">IF(AND(OFFSET(家賃シミュレーションシート!$Q$16,L$23,0)&gt;=$B30,OFFSET(家賃シミュレーションシート!$O$16,L$23,0)+OFFSET(家賃シミュレーションシート!$S$16,L$23,0)&lt;=10000000,OFFSET(家賃シミュレーションシート!$E$16,L$23,0)&gt;=65),"●","-")</f>
        <v>-</v>
      </c>
      <c r="M30" s="3">
        <f ca="1">OFFSET(家賃シミュレーションシート!$Q$16,M$14,0)-1955000</f>
        <v>-1955000</v>
      </c>
      <c r="N30" s="25" t="str">
        <f ca="1">IF(AND(OFFSET(家賃シミュレーションシート!$Q$16,N$23,0)&gt;=$B30,OFFSET(家賃シミュレーションシート!$O$16,N$23,0)+OFFSET(家賃シミュレーションシート!$S$16,N$23,0)&lt;=10000000,OFFSET(家賃シミュレーションシート!$E$16,N$23,0)&gt;=65),"●","-")</f>
        <v>-</v>
      </c>
      <c r="O30" s="3">
        <f ca="1">OFFSET(家賃シミュレーションシート!$Q$16,O$14,0)-1955000</f>
        <v>-1955000</v>
      </c>
      <c r="P30" s="25" t="str">
        <f ca="1">IF(AND(OFFSET(家賃シミュレーションシート!$Q$16,P$23,0)&gt;=$B30,OFFSET(家賃シミュレーションシート!$O$16,P$23,0)+OFFSET(家賃シミュレーションシート!$S$16,P$23,0)&lt;=10000000,OFFSET(家賃シミュレーションシート!$E$16,P$23,0)&gt;=65),"●","-")</f>
        <v>-</v>
      </c>
    </row>
    <row r="31" spans="1:16" s="17" customFormat="1" ht="18" customHeight="1">
      <c r="B31" s="7" t="s">
        <v>12</v>
      </c>
    </row>
    <row r="32" spans="1:16" s="17" customFormat="1" ht="18" customHeight="1">
      <c r="B32" s="7" t="s">
        <v>24</v>
      </c>
    </row>
    <row r="33" spans="1:16" ht="18" customHeight="1">
      <c r="A33" s="17"/>
      <c r="B33" s="1" t="s">
        <v>13</v>
      </c>
    </row>
    <row r="34" spans="1:16" ht="18" customHeight="1">
      <c r="A34" s="17"/>
      <c r="B34" s="11" t="s">
        <v>14</v>
      </c>
      <c r="C34" s="11"/>
      <c r="D34" s="15" t="s">
        <v>15</v>
      </c>
      <c r="E34" s="2">
        <v>0</v>
      </c>
      <c r="F34" s="2">
        <v>0</v>
      </c>
      <c r="G34" s="2">
        <v>2</v>
      </c>
      <c r="H34" s="2">
        <v>2</v>
      </c>
      <c r="I34" s="2">
        <v>4</v>
      </c>
      <c r="J34" s="2">
        <v>4</v>
      </c>
      <c r="K34" s="2">
        <v>6</v>
      </c>
      <c r="L34" s="2">
        <v>6</v>
      </c>
      <c r="M34" s="2">
        <v>8</v>
      </c>
      <c r="N34" s="2">
        <v>8</v>
      </c>
      <c r="O34" s="2">
        <v>10</v>
      </c>
      <c r="P34" s="2">
        <v>10</v>
      </c>
    </row>
    <row r="35" spans="1:16" ht="18" customHeight="1">
      <c r="A35" s="17"/>
      <c r="B35" s="13" t="s">
        <v>3</v>
      </c>
      <c r="C35" s="13" t="s">
        <v>4</v>
      </c>
      <c r="D35" s="14" t="s">
        <v>5</v>
      </c>
      <c r="E35" s="23" t="s">
        <v>49</v>
      </c>
      <c r="F35" s="23"/>
      <c r="G35" s="23" t="s">
        <v>42</v>
      </c>
      <c r="H35" s="23"/>
      <c r="I35" s="23" t="s">
        <v>43</v>
      </c>
      <c r="J35" s="23"/>
      <c r="K35" s="23" t="s">
        <v>44</v>
      </c>
      <c r="L35" s="23"/>
      <c r="M35" s="23" t="s">
        <v>45</v>
      </c>
      <c r="N35" s="23"/>
      <c r="O35" s="23" t="s">
        <v>46</v>
      </c>
      <c r="P35" s="23"/>
    </row>
    <row r="36" spans="1:16" ht="18" customHeight="1">
      <c r="A36" s="17"/>
      <c r="B36" s="3"/>
      <c r="C36" s="3">
        <v>500000</v>
      </c>
      <c r="D36" s="8">
        <v>0</v>
      </c>
      <c r="E36" s="3">
        <v>0</v>
      </c>
      <c r="F36" s="25" t="str">
        <f ca="1">IF(AND(OFFSET(家賃シミュレーションシート!$Q$16,F$34,0)&lt;=$C36,OFFSET(家賃シミュレーションシート!$O$16,F$34,0)+OFFSET(家賃シミュレーションシート!$S$16,F$34,0)&gt;10000000,OFFSET(家賃シミュレーションシート!$O$16,F$34,0)+OFFSET(家賃シミュレーションシート!$S$16,F$34,0)&lt;=20000000,OFFSET(家賃シミュレーションシート!$E$16,F$34,0)&lt;65),"●","-")</f>
        <v>-</v>
      </c>
      <c r="G36" s="3">
        <v>0</v>
      </c>
      <c r="H36" s="25" t="str">
        <f ca="1">IF(AND(OFFSET(家賃シミュレーションシート!$Q$16,H$34,0)&lt;=$C36,OFFSET(家賃シミュレーションシート!$O$16,H$34,0)+OFFSET(家賃シミュレーションシート!$S$16,H$34,0)&gt;10000000,OFFSET(家賃シミュレーションシート!$O$16,H$34,0)+OFFSET(家賃シミュレーションシート!$S$16,H$34,0)&lt;=20000000,OFFSET(家賃シミュレーションシート!$E$16,H$34,0)&lt;65),"●","-")</f>
        <v>-</v>
      </c>
      <c r="I36" s="3">
        <v>0</v>
      </c>
      <c r="J36" s="25" t="str">
        <f ca="1">IF(AND(OFFSET(家賃シミュレーションシート!$Q$16,J$34,0)&lt;=$C36,OFFSET(家賃シミュレーションシート!$O$16,J$34,0)+OFFSET(家賃シミュレーションシート!$S$16,J$34,0)&gt;10000000,OFFSET(家賃シミュレーションシート!$O$16,J$34,0)+OFFSET(家賃シミュレーションシート!$S$16,J$34,0)&lt;=20000000,OFFSET(家賃シミュレーションシート!$E$16,J$34,0)&lt;65),"●","-")</f>
        <v>-</v>
      </c>
      <c r="K36" s="3">
        <v>0</v>
      </c>
      <c r="L36" s="25" t="str">
        <f ca="1">IF(AND(OFFSET(家賃シミュレーションシート!$Q$16,L$34,0)&lt;=$C36,OFFSET(家賃シミュレーションシート!$O$16,L$34,0)+OFFSET(家賃シミュレーションシート!$S$16,L$34,0)&gt;10000000,OFFSET(家賃シミュレーションシート!$O$16,L$34,0)+OFFSET(家賃シミュレーションシート!$S$16,L$34,0)&lt;=20000000,OFFSET(家賃シミュレーションシート!$E$16,L$34,0)&lt;65),"●","-")</f>
        <v>-</v>
      </c>
      <c r="M36" s="3">
        <v>0</v>
      </c>
      <c r="N36" s="25" t="str">
        <f ca="1">IF(AND(OFFSET(家賃シミュレーションシート!$Q$16,N$34,0)&lt;=$C36,OFFSET(家賃シミュレーションシート!$O$16,N$34,0)+OFFSET(家賃シミュレーションシート!$S$16,N$34,0)&gt;10000000,OFFSET(家賃シミュレーションシート!$O$16,N$34,0)+OFFSET(家賃シミュレーションシート!$S$16,N$34,0)&lt;=20000000,OFFSET(家賃シミュレーションシート!$E$16,N$34,0)&lt;65),"●","-")</f>
        <v>-</v>
      </c>
      <c r="O36" s="3">
        <v>0</v>
      </c>
      <c r="P36" s="25" t="str">
        <f ca="1">IF(AND(OFFSET(家賃シミュレーションシート!$Q$16,P$34,0)&lt;=$C36,OFFSET(家賃シミュレーションシート!$O$16,P$34,0)+OFFSET(家賃シミュレーションシート!$S$16,P$34,0)&gt;10000000,OFFSET(家賃シミュレーションシート!$O$16,P$34,0)+OFFSET(家賃シミュレーションシート!$S$16,P$34,0)&lt;=20000000,OFFSET(家賃シミュレーションシート!$E$16,P$34,0)&lt;65),"●","-")</f>
        <v>-</v>
      </c>
    </row>
    <row r="37" spans="1:16" ht="18" customHeight="1">
      <c r="A37" s="17"/>
      <c r="B37" s="3">
        <v>500001</v>
      </c>
      <c r="C37" s="3">
        <v>1300000</v>
      </c>
      <c r="D37" s="8" t="s">
        <v>25</v>
      </c>
      <c r="E37" s="3">
        <f ca="1">OFFSET(家賃シミュレーションシート!$Q$16,E$34,0)-500000</f>
        <v>-500000</v>
      </c>
      <c r="F37" s="25" t="str">
        <f ca="1">IF(AND(OFFSET(家賃シミュレーションシート!$Q$16,F$34,0)&gt;=$B37,OFFSET(家賃シミュレーションシート!$Q$16,F$34,0)&lt;=$C37,OFFSET(家賃シミュレーションシート!$O$16,F$34,0)+OFFSET(家賃シミュレーションシート!$S$16,F$34,0)&gt;10000000,OFFSET(家賃シミュレーションシート!$O$16,F$34,0)+OFFSET(家賃シミュレーションシート!$S$16,F$34,0)&lt;=20000000,OFFSET(家賃シミュレーションシート!$E$16,F$34,0)&lt;65),"●","-")</f>
        <v>-</v>
      </c>
      <c r="G37" s="3">
        <f ca="1">OFFSET(家賃シミュレーションシート!$Q$16,G$34,0)-500000</f>
        <v>-500000</v>
      </c>
      <c r="H37" s="25" t="str">
        <f ca="1">IF(AND(OFFSET(家賃シミュレーションシート!$Q$16,H$34,0)&gt;=$B37,OFFSET(家賃シミュレーションシート!$Q$16,H$34,0)&lt;=$C37,OFFSET(家賃シミュレーションシート!$O$16,H$34,0)+OFFSET(家賃シミュレーションシート!$S$16,H$34,0)&gt;10000000,OFFSET(家賃シミュレーションシート!$O$16,H$34,0)+OFFSET(家賃シミュレーションシート!$S$16,H$34,0)&lt;=20000000,OFFSET(家賃シミュレーションシート!$E$16,H$34,0)&lt;65),"●","-")</f>
        <v>-</v>
      </c>
      <c r="I37" s="3">
        <f ca="1">OFFSET(家賃シミュレーションシート!$Q$16,I$34,0)-500000</f>
        <v>-500000</v>
      </c>
      <c r="J37" s="25" t="str">
        <f ca="1">IF(AND(OFFSET(家賃シミュレーションシート!$Q$16,J$34,0)&gt;=$B37,OFFSET(家賃シミュレーションシート!$Q$16,J$34,0)&lt;=$C37,OFFSET(家賃シミュレーションシート!$O$16,J$34,0)+OFFSET(家賃シミュレーションシート!$S$16,J$34,0)&gt;10000000,OFFSET(家賃シミュレーションシート!$O$16,J$34,0)+OFFSET(家賃シミュレーションシート!$S$16,J$34,0)&lt;=20000000,OFFSET(家賃シミュレーションシート!$E$16,J$34,0)&lt;65),"●","-")</f>
        <v>-</v>
      </c>
      <c r="K37" s="3">
        <f ca="1">OFFSET(家賃シミュレーションシート!$Q$16,K$34,0)-500000</f>
        <v>-500000</v>
      </c>
      <c r="L37" s="25" t="str">
        <f ca="1">IF(AND(OFFSET(家賃シミュレーションシート!$Q$16,L$34,0)&gt;=$B37,OFFSET(家賃シミュレーションシート!$Q$16,L$34,0)&lt;=$C37,OFFSET(家賃シミュレーションシート!$O$16,L$34,0)+OFFSET(家賃シミュレーションシート!$S$16,L$34,0)&gt;10000000,OFFSET(家賃シミュレーションシート!$O$16,L$34,0)+OFFSET(家賃シミュレーションシート!$S$16,L$34,0)&lt;=20000000,OFFSET(家賃シミュレーションシート!$E$16,L$34,0)&lt;65),"●","-")</f>
        <v>-</v>
      </c>
      <c r="M37" s="3">
        <f ca="1">OFFSET(家賃シミュレーションシート!$Q$16,M$34,0)-500000</f>
        <v>-500000</v>
      </c>
      <c r="N37" s="25" t="str">
        <f ca="1">IF(AND(OFFSET(家賃シミュレーションシート!$Q$16,N$34,0)&gt;=$B37,OFFSET(家賃シミュレーションシート!$Q$16,N$34,0)&lt;=$C37,OFFSET(家賃シミュレーションシート!$O$16,N$34,0)+OFFSET(家賃シミュレーションシート!$S$16,N$34,0)&gt;10000000,OFFSET(家賃シミュレーションシート!$O$16,N$34,0)+OFFSET(家賃シミュレーションシート!$S$16,N$34,0)&lt;=20000000,OFFSET(家賃シミュレーションシート!$E$16,N$34,0)&lt;65),"●","-")</f>
        <v>-</v>
      </c>
      <c r="O37" s="3">
        <f ca="1">OFFSET(家賃シミュレーションシート!$Q$16,O$34,0)-500000</f>
        <v>-500000</v>
      </c>
      <c r="P37" s="25" t="str">
        <f ca="1">IF(AND(OFFSET(家賃シミュレーションシート!$Q$16,P$34,0)&gt;=$B37,OFFSET(家賃シミュレーションシート!$Q$16,P$34,0)&lt;=$C37,OFFSET(家賃シミュレーションシート!$O$16,P$34,0)+OFFSET(家賃シミュレーションシート!$S$16,P$34,0)&gt;10000000,OFFSET(家賃シミュレーションシート!$O$16,P$34,0)+OFFSET(家賃シミュレーションシート!$S$16,P$34,0)&lt;=20000000,OFFSET(家賃シミュレーションシート!$E$16,P$34,0)&lt;65),"●","-")</f>
        <v>-</v>
      </c>
    </row>
    <row r="38" spans="1:16" ht="18" customHeight="1">
      <c r="A38" s="17"/>
      <c r="B38" s="3">
        <v>1300001</v>
      </c>
      <c r="C38" s="3">
        <v>4100000</v>
      </c>
      <c r="D38" s="8" t="s">
        <v>26</v>
      </c>
      <c r="E38" s="3">
        <f ca="1">OFFSET(家賃シミュレーションシート!$Q$16,E$34,0)*0.75-175000</f>
        <v>-175000</v>
      </c>
      <c r="F38" s="25" t="str">
        <f ca="1">IF(AND(OFFSET(家賃シミュレーションシート!$Q$16,F$34,0)&gt;=$B38,OFFSET(家賃シミュレーションシート!$Q$16,F$34,0)&lt;=$C38,OFFSET(家賃シミュレーションシート!$O$16,F$34,0)+OFFSET(家賃シミュレーションシート!$S$16,F$34,0)&gt;10000000,OFFSET(家賃シミュレーションシート!$O$16,F$34,0)+OFFSET(家賃シミュレーションシート!$S$16,F$34,0)&lt;=20000000,OFFSET(家賃シミュレーションシート!$E$16,F$34,0)&lt;65),"●","-")</f>
        <v>-</v>
      </c>
      <c r="G38" s="3">
        <f ca="1">OFFSET(家賃シミュレーションシート!$Q$16,G$34,0)*0.75-175000</f>
        <v>-175000</v>
      </c>
      <c r="H38" s="25" t="str">
        <f ca="1">IF(AND(OFFSET(家賃シミュレーションシート!$Q$16,H$34,0)&gt;=$B38,OFFSET(家賃シミュレーションシート!$Q$16,H$34,0)&lt;=$C38,OFFSET(家賃シミュレーションシート!$O$16,H$34,0)+OFFSET(家賃シミュレーションシート!$S$16,H$34,0)&gt;10000000,OFFSET(家賃シミュレーションシート!$O$16,H$34,0)+OFFSET(家賃シミュレーションシート!$S$16,H$34,0)&lt;=20000000,OFFSET(家賃シミュレーションシート!$E$16,H$34,0)&lt;65),"●","-")</f>
        <v>-</v>
      </c>
      <c r="I38" s="3">
        <f ca="1">OFFSET(家賃シミュレーションシート!$Q$16,I$34,0)*0.75-175000</f>
        <v>-175000</v>
      </c>
      <c r="J38" s="25" t="str">
        <f ca="1">IF(AND(OFFSET(家賃シミュレーションシート!$Q$16,J$34,0)&gt;=$B38,OFFSET(家賃シミュレーションシート!$Q$16,J$34,0)&lt;=$C38,OFFSET(家賃シミュレーションシート!$O$16,J$34,0)+OFFSET(家賃シミュレーションシート!$S$16,J$34,0)&gt;10000000,OFFSET(家賃シミュレーションシート!$O$16,J$34,0)+OFFSET(家賃シミュレーションシート!$S$16,J$34,0)&lt;=20000000,OFFSET(家賃シミュレーションシート!$E$16,J$34,0)&lt;65),"●","-")</f>
        <v>-</v>
      </c>
      <c r="K38" s="3">
        <f ca="1">OFFSET(家賃シミュレーションシート!$Q$16,K$34,0)*0.75-175000</f>
        <v>-175000</v>
      </c>
      <c r="L38" s="25" t="str">
        <f ca="1">IF(AND(OFFSET(家賃シミュレーションシート!$Q$16,L$34,0)&gt;=$B38,OFFSET(家賃シミュレーションシート!$Q$16,L$34,0)&lt;=$C38,OFFSET(家賃シミュレーションシート!$O$16,L$34,0)+OFFSET(家賃シミュレーションシート!$S$16,L$34,0)&gt;10000000,OFFSET(家賃シミュレーションシート!$O$16,L$34,0)+OFFSET(家賃シミュレーションシート!$S$16,L$34,0)&lt;=20000000,OFFSET(家賃シミュレーションシート!$E$16,L$34,0)&lt;65),"●","-")</f>
        <v>-</v>
      </c>
      <c r="M38" s="3">
        <f ca="1">OFFSET(家賃シミュレーションシート!$Q$16,M$34,0)*0.75-175000</f>
        <v>-175000</v>
      </c>
      <c r="N38" s="25" t="str">
        <f ca="1">IF(AND(OFFSET(家賃シミュレーションシート!$Q$16,N$34,0)&gt;=$B38,OFFSET(家賃シミュレーションシート!$Q$16,N$34,0)&lt;=$C38,OFFSET(家賃シミュレーションシート!$O$16,N$34,0)+OFFSET(家賃シミュレーションシート!$S$16,N$34,0)&gt;10000000,OFFSET(家賃シミュレーションシート!$O$16,N$34,0)+OFFSET(家賃シミュレーションシート!$S$16,N$34,0)&lt;=20000000,OFFSET(家賃シミュレーションシート!$E$16,N$34,0)&lt;65),"●","-")</f>
        <v>-</v>
      </c>
      <c r="O38" s="3">
        <f ca="1">OFFSET(家賃シミュレーションシート!$Q$16,O$34,0)*0.75-175000</f>
        <v>-175000</v>
      </c>
      <c r="P38" s="25" t="str">
        <f ca="1">IF(AND(OFFSET(家賃シミュレーションシート!$Q$16,P$34,0)&gt;=$B38,OFFSET(家賃シミュレーションシート!$Q$16,P$34,0)&lt;=$C38,OFFSET(家賃シミュレーションシート!$O$16,P$34,0)+OFFSET(家賃シミュレーションシート!$S$16,P$34,0)&gt;10000000,OFFSET(家賃シミュレーションシート!$O$16,P$34,0)+OFFSET(家賃シミュレーションシート!$S$16,P$34,0)&lt;=20000000,OFFSET(家賃シミュレーションシート!$E$16,P$34,0)&lt;65),"●","-")</f>
        <v>-</v>
      </c>
    </row>
    <row r="39" spans="1:16" ht="18" customHeight="1">
      <c r="A39" s="17"/>
      <c r="B39" s="3">
        <v>4100001</v>
      </c>
      <c r="C39" s="3">
        <v>7700000</v>
      </c>
      <c r="D39" s="8" t="s">
        <v>27</v>
      </c>
      <c r="E39" s="3">
        <f ca="1">OFFSET(家賃シミュレーションシート!$Q$16,E$34,0)*0.85-585000</f>
        <v>-585000</v>
      </c>
      <c r="F39" s="25" t="str">
        <f ca="1">IF(AND(OFFSET(家賃シミュレーションシート!$Q$16,F$34,0)&gt;=$B39,OFFSET(家賃シミュレーションシート!$Q$16,F$34,0)&lt;=$C39,OFFSET(家賃シミュレーションシート!$O$16,F$34,0)+OFFSET(家賃シミュレーションシート!$S$16,F$34,0)&gt;10000000,OFFSET(家賃シミュレーションシート!$O$16,F$34,0)+OFFSET(家賃シミュレーションシート!$S$16,F$34,0)&lt;=20000000,OFFSET(家賃シミュレーションシート!$E$16,F$34,0)&lt;65),"●","-")</f>
        <v>-</v>
      </c>
      <c r="G39" s="3">
        <f ca="1">OFFSET(家賃シミュレーションシート!$Q$16,G$34,0)*0.85-585000</f>
        <v>-585000</v>
      </c>
      <c r="H39" s="25" t="str">
        <f ca="1">IF(AND(OFFSET(家賃シミュレーションシート!$Q$16,H$34,0)&gt;=$B39,OFFSET(家賃シミュレーションシート!$Q$16,H$34,0)&lt;=$C39,OFFSET(家賃シミュレーションシート!$O$16,H$34,0)+OFFSET(家賃シミュレーションシート!$S$16,H$34,0)&gt;10000000,OFFSET(家賃シミュレーションシート!$O$16,H$34,0)+OFFSET(家賃シミュレーションシート!$S$16,H$34,0)&lt;=20000000,OFFSET(家賃シミュレーションシート!$E$16,H$34,0)&lt;65),"●","-")</f>
        <v>-</v>
      </c>
      <c r="I39" s="3">
        <f ca="1">OFFSET(家賃シミュレーションシート!$Q$16,I$34,0)*0.85-585000</f>
        <v>-585000</v>
      </c>
      <c r="J39" s="25" t="str">
        <f ca="1">IF(AND(OFFSET(家賃シミュレーションシート!$Q$16,J$34,0)&gt;=$B39,OFFSET(家賃シミュレーションシート!$Q$16,J$34,0)&lt;=$C39,OFFSET(家賃シミュレーションシート!$O$16,J$34,0)+OFFSET(家賃シミュレーションシート!$S$16,J$34,0)&gt;10000000,OFFSET(家賃シミュレーションシート!$O$16,J$34,0)+OFFSET(家賃シミュレーションシート!$S$16,J$34,0)&lt;=20000000,OFFSET(家賃シミュレーションシート!$E$16,J$34,0)&lt;65),"●","-")</f>
        <v>-</v>
      </c>
      <c r="K39" s="3">
        <f ca="1">OFFSET(家賃シミュレーションシート!$Q$16,K$34,0)*0.85-585000</f>
        <v>-585000</v>
      </c>
      <c r="L39" s="25" t="str">
        <f ca="1">IF(AND(OFFSET(家賃シミュレーションシート!$Q$16,L$34,0)&gt;=$B39,OFFSET(家賃シミュレーションシート!$Q$16,L$34,0)&lt;=$C39,OFFSET(家賃シミュレーションシート!$O$16,L$34,0)+OFFSET(家賃シミュレーションシート!$S$16,L$34,0)&gt;10000000,OFFSET(家賃シミュレーションシート!$O$16,L$34,0)+OFFSET(家賃シミュレーションシート!$S$16,L$34,0)&lt;=20000000,OFFSET(家賃シミュレーションシート!$E$16,L$34,0)&lt;65),"●","-")</f>
        <v>-</v>
      </c>
      <c r="M39" s="3">
        <f ca="1">OFFSET(家賃シミュレーションシート!$Q$16,M$34,0)*0.85-585000</f>
        <v>-585000</v>
      </c>
      <c r="N39" s="25" t="str">
        <f ca="1">IF(AND(OFFSET(家賃シミュレーションシート!$Q$16,N$34,0)&gt;=$B39,OFFSET(家賃シミュレーションシート!$Q$16,N$34,0)&lt;=$C39,OFFSET(家賃シミュレーションシート!$O$16,N$34,0)+OFFSET(家賃シミュレーションシート!$S$16,N$34,0)&gt;10000000,OFFSET(家賃シミュレーションシート!$O$16,N$34,0)+OFFSET(家賃シミュレーションシート!$S$16,N$34,0)&lt;=20000000,OFFSET(家賃シミュレーションシート!$E$16,N$34,0)&lt;65),"●","-")</f>
        <v>-</v>
      </c>
      <c r="O39" s="3">
        <f ca="1">OFFSET(家賃シミュレーションシート!$Q$16,O$34,0)*0.85-585000</f>
        <v>-585000</v>
      </c>
      <c r="P39" s="25" t="str">
        <f ca="1">IF(AND(OFFSET(家賃シミュレーションシート!$Q$16,P$34,0)&gt;=$B39,OFFSET(家賃シミュレーションシート!$Q$16,P$34,0)&lt;=$C39,OFFSET(家賃シミュレーションシート!$O$16,P$34,0)+OFFSET(家賃シミュレーションシート!$S$16,P$34,0)&gt;10000000,OFFSET(家賃シミュレーションシート!$O$16,P$34,0)+OFFSET(家賃シミュレーションシート!$S$16,P$34,0)&lt;=20000000,OFFSET(家賃シミュレーションシート!$E$16,P$34,0)&lt;65),"●","-")</f>
        <v>-</v>
      </c>
    </row>
    <row r="40" spans="1:16" ht="18" customHeight="1">
      <c r="A40" s="17"/>
      <c r="B40" s="3">
        <v>7700001</v>
      </c>
      <c r="C40" s="3">
        <v>10000000</v>
      </c>
      <c r="D40" s="8" t="s">
        <v>28</v>
      </c>
      <c r="E40" s="3">
        <f ca="1">OFFSET(家賃シミュレーションシート!$Q$16,E$34,0)*0.95-1355000</f>
        <v>-1355000</v>
      </c>
      <c r="F40" s="25" t="str">
        <f ca="1">IF(AND(OFFSET(家賃シミュレーションシート!$Q$16,F$34,0)&gt;=$B40,OFFSET(家賃シミュレーションシート!$Q$16,F$34,0)&lt;=$C40,OFFSET(家賃シミュレーションシート!$O$16,F$34,0)+OFFSET(家賃シミュレーションシート!$S$16,F$34,0)&gt;10000000,OFFSET(家賃シミュレーションシート!$O$16,F$34,0)+OFFSET(家賃シミュレーションシート!$S$16,F$34,0)&lt;=20000000,OFFSET(家賃シミュレーションシート!$E$16,F$34,0)&lt;65),"●","-")</f>
        <v>-</v>
      </c>
      <c r="G40" s="3">
        <f ca="1">OFFSET(家賃シミュレーションシート!$Q$16,G$34,0)*0.95-1355000</f>
        <v>-1355000</v>
      </c>
      <c r="H40" s="25" t="str">
        <f ca="1">IF(AND(OFFSET(家賃シミュレーションシート!$Q$16,H$34,0)&gt;=$B40,OFFSET(家賃シミュレーションシート!$Q$16,H$34,0)&lt;=$C40,OFFSET(家賃シミュレーションシート!$O$16,H$34,0)+OFFSET(家賃シミュレーションシート!$S$16,H$34,0)&gt;10000000,OFFSET(家賃シミュレーションシート!$O$16,H$34,0)+OFFSET(家賃シミュレーションシート!$S$16,H$34,0)&lt;=20000000,OFFSET(家賃シミュレーションシート!$E$16,H$34,0)&lt;65),"●","-")</f>
        <v>-</v>
      </c>
      <c r="I40" s="3">
        <f ca="1">OFFSET(家賃シミュレーションシート!$Q$16,I$34,0)*0.95-1355000</f>
        <v>-1355000</v>
      </c>
      <c r="J40" s="25" t="str">
        <f ca="1">IF(AND(OFFSET(家賃シミュレーションシート!$Q$16,J$34,0)&gt;=$B40,OFFSET(家賃シミュレーションシート!$Q$16,J$34,0)&lt;=$C40,OFFSET(家賃シミュレーションシート!$O$16,J$34,0)+OFFSET(家賃シミュレーションシート!$S$16,J$34,0)&gt;10000000,OFFSET(家賃シミュレーションシート!$O$16,J$34,0)+OFFSET(家賃シミュレーションシート!$S$16,J$34,0)&lt;=20000000,OFFSET(家賃シミュレーションシート!$E$16,J$34,0)&lt;65),"●","-")</f>
        <v>-</v>
      </c>
      <c r="K40" s="3">
        <f ca="1">OFFSET(家賃シミュレーションシート!$Q$16,K$34,0)*0.95-1355000</f>
        <v>-1355000</v>
      </c>
      <c r="L40" s="25" t="str">
        <f ca="1">IF(AND(OFFSET(家賃シミュレーションシート!$Q$16,L$34,0)&gt;=$B40,OFFSET(家賃シミュレーションシート!$Q$16,L$34,0)&lt;=$C40,OFFSET(家賃シミュレーションシート!$O$16,L$34,0)+OFFSET(家賃シミュレーションシート!$S$16,L$34,0)&gt;10000000,OFFSET(家賃シミュレーションシート!$O$16,L$34,0)+OFFSET(家賃シミュレーションシート!$S$16,L$34,0)&lt;=20000000,OFFSET(家賃シミュレーションシート!$E$16,L$34,0)&lt;65),"●","-")</f>
        <v>-</v>
      </c>
      <c r="M40" s="3">
        <f ca="1">OFFSET(家賃シミュレーションシート!$Q$16,M$34,0)*0.95-1355000</f>
        <v>-1355000</v>
      </c>
      <c r="N40" s="25" t="str">
        <f ca="1">IF(AND(OFFSET(家賃シミュレーションシート!$Q$16,N$34,0)&gt;=$B40,OFFSET(家賃シミュレーションシート!$Q$16,N$34,0)&lt;=$C40,OFFSET(家賃シミュレーションシート!$O$16,N$34,0)+OFFSET(家賃シミュレーションシート!$S$16,N$34,0)&gt;10000000,OFFSET(家賃シミュレーションシート!$O$16,N$34,0)+OFFSET(家賃シミュレーションシート!$S$16,N$34,0)&lt;=20000000,OFFSET(家賃シミュレーションシート!$E$16,N$34,0)&lt;65),"●","-")</f>
        <v>-</v>
      </c>
      <c r="O40" s="3">
        <f ca="1">OFFSET(家賃シミュレーションシート!$Q$16,O$34,0)*0.95-1355000</f>
        <v>-1355000</v>
      </c>
      <c r="P40" s="25" t="str">
        <f ca="1">IF(AND(OFFSET(家賃シミュレーションシート!$Q$16,P$34,0)&gt;=$B40,OFFSET(家賃シミュレーションシート!$Q$16,P$34,0)&lt;=$C40,OFFSET(家賃シミュレーションシート!$O$16,P$34,0)+OFFSET(家賃シミュレーションシート!$S$16,P$34,0)&gt;10000000,OFFSET(家賃シミュレーションシート!$O$16,P$34,0)+OFFSET(家賃シミュレーションシート!$S$16,P$34,0)&lt;=20000000,OFFSET(家賃シミュレーションシート!$E$16,P$34,0)&lt;65),"●","-")</f>
        <v>-</v>
      </c>
    </row>
    <row r="41" spans="1:16" ht="18" customHeight="1">
      <c r="A41" s="17"/>
      <c r="B41" s="3">
        <v>10000001</v>
      </c>
      <c r="C41" s="3"/>
      <c r="D41" s="8" t="s">
        <v>29</v>
      </c>
      <c r="E41" s="3">
        <f ca="1">OFFSET(家賃シミュレーションシート!$Q$16,E$34,0)-1855000</f>
        <v>-1855000</v>
      </c>
      <c r="F41" s="25" t="str">
        <f ca="1">IF(AND(OFFSET(家賃シミュレーションシート!$Q$16,F$34,0)&gt;=$B41,OFFSET(家賃シミュレーションシート!$O$16,F$34,0)+OFFSET(家賃シミュレーションシート!$S$16,F$34,0)&gt;10000000,OFFSET(家賃シミュレーションシート!$O$16,F$34,0)+OFFSET(家賃シミュレーションシート!$S$16,F$34,0)&lt;=20000000,OFFSET(家賃シミュレーションシート!$E$16,F$34,0)&lt;65),"●","-")</f>
        <v>-</v>
      </c>
      <c r="G41" s="3">
        <f ca="1">OFFSET(家賃シミュレーションシート!$Q$16,G$34,0)-1855000</f>
        <v>-1855000</v>
      </c>
      <c r="H41" s="25" t="str">
        <f ca="1">IF(AND(OFFSET(家賃シミュレーションシート!$Q$16,H$34,0)&gt;=$B41,OFFSET(家賃シミュレーションシート!$O$16,H$34,0)+OFFSET(家賃シミュレーションシート!$S$16,H$34,0)&gt;10000000,OFFSET(家賃シミュレーションシート!$O$16,H$34,0)+OFFSET(家賃シミュレーションシート!$S$16,H$34,0)&lt;=20000000,OFFSET(家賃シミュレーションシート!$E$16,H$34,0)&lt;65),"●","-")</f>
        <v>-</v>
      </c>
      <c r="I41" s="3">
        <f ca="1">OFFSET(家賃シミュレーションシート!$Q$16,I$34,0)-1855000</f>
        <v>-1855000</v>
      </c>
      <c r="J41" s="25" t="str">
        <f ca="1">IF(AND(OFFSET(家賃シミュレーションシート!$Q$16,J$34,0)&gt;=$B41,OFFSET(家賃シミュレーションシート!$O$16,J$34,0)+OFFSET(家賃シミュレーションシート!$S$16,J$34,0)&gt;10000000,OFFSET(家賃シミュレーションシート!$O$16,J$34,0)+OFFSET(家賃シミュレーションシート!$S$16,J$34,0)&lt;=20000000,OFFSET(家賃シミュレーションシート!$E$16,J$34,0)&lt;65),"●","-")</f>
        <v>-</v>
      </c>
      <c r="K41" s="3">
        <f ca="1">OFFSET(家賃シミュレーションシート!$Q$16,K$34,0)-1855000</f>
        <v>-1855000</v>
      </c>
      <c r="L41" s="25" t="str">
        <f ca="1">IF(AND(OFFSET(家賃シミュレーションシート!$Q$16,L$34,0)&gt;=$B41,OFFSET(家賃シミュレーションシート!$O$16,L$34,0)+OFFSET(家賃シミュレーションシート!$S$16,L$34,0)&gt;10000000,OFFSET(家賃シミュレーションシート!$O$16,L$34,0)+OFFSET(家賃シミュレーションシート!$S$16,L$34,0)&lt;=20000000,OFFSET(家賃シミュレーションシート!$E$16,L$34,0)&lt;65),"●","-")</f>
        <v>-</v>
      </c>
      <c r="M41" s="3">
        <f ca="1">OFFSET(家賃シミュレーションシート!$Q$16,M$34,0)-1855000</f>
        <v>-1855000</v>
      </c>
      <c r="N41" s="25" t="str">
        <f ca="1">IF(AND(OFFSET(家賃シミュレーションシート!$Q$16,N$34,0)&gt;=$B41,OFFSET(家賃シミュレーションシート!$O$16,N$34,0)+OFFSET(家賃シミュレーションシート!$S$16,N$34,0)&gt;10000000,OFFSET(家賃シミュレーションシート!$O$16,N$34,0)+OFFSET(家賃シミュレーションシート!$S$16,N$34,0)&lt;=20000000,OFFSET(家賃シミュレーションシート!$E$16,N$34,0)&lt;65),"●","-")</f>
        <v>-</v>
      </c>
      <c r="O41" s="3">
        <f ca="1">OFFSET(家賃シミュレーションシート!$Q$16,O$34,0)-1855000</f>
        <v>-1855000</v>
      </c>
      <c r="P41" s="25" t="str">
        <f ca="1">IF(AND(OFFSET(家賃シミュレーションシート!$Q$16,P$34,0)&gt;=$B41,OFFSET(家賃シミュレーションシート!$O$16,P$34,0)+OFFSET(家賃シミュレーションシート!$S$16,P$34,0)&gt;10000000,OFFSET(家賃シミュレーションシート!$O$16,P$34,0)+OFFSET(家賃シミュレーションシート!$S$16,P$34,0)&lt;=20000000,OFFSET(家賃シミュレーションシート!$E$16,P$34,0)&lt;65),"●","-")</f>
        <v>-</v>
      </c>
    </row>
    <row r="42" spans="1:16" ht="18" customHeight="1">
      <c r="A42" s="17"/>
      <c r="B42" s="1" t="s">
        <v>21</v>
      </c>
    </row>
    <row r="43" spans="1:16" ht="18" customHeight="1">
      <c r="A43" s="17"/>
      <c r="B43" s="11" t="s">
        <v>14</v>
      </c>
      <c r="C43" s="11"/>
      <c r="D43" s="15" t="s">
        <v>15</v>
      </c>
      <c r="E43" s="2">
        <v>0</v>
      </c>
      <c r="F43" s="2">
        <v>0</v>
      </c>
      <c r="G43" s="2">
        <v>2</v>
      </c>
      <c r="H43" s="2">
        <v>2</v>
      </c>
      <c r="I43" s="2">
        <v>4</v>
      </c>
      <c r="J43" s="2">
        <v>4</v>
      </c>
      <c r="K43" s="2">
        <v>6</v>
      </c>
      <c r="L43" s="2">
        <v>6</v>
      </c>
      <c r="M43" s="2">
        <v>8</v>
      </c>
      <c r="N43" s="2">
        <v>8</v>
      </c>
      <c r="O43" s="2">
        <v>10</v>
      </c>
      <c r="P43" s="2">
        <v>10</v>
      </c>
    </row>
    <row r="44" spans="1:16" ht="18" customHeight="1">
      <c r="A44" s="17"/>
      <c r="B44" s="13" t="s">
        <v>3</v>
      </c>
      <c r="C44" s="13" t="s">
        <v>4</v>
      </c>
      <c r="D44" s="14" t="s">
        <v>5</v>
      </c>
      <c r="E44" s="23" t="s">
        <v>49</v>
      </c>
      <c r="F44" s="23"/>
      <c r="G44" s="23" t="s">
        <v>42</v>
      </c>
      <c r="H44" s="23"/>
      <c r="I44" s="23" t="s">
        <v>43</v>
      </c>
      <c r="J44" s="23"/>
      <c r="K44" s="23" t="s">
        <v>44</v>
      </c>
      <c r="L44" s="23"/>
      <c r="M44" s="23" t="s">
        <v>45</v>
      </c>
      <c r="N44" s="23"/>
      <c r="O44" s="23" t="s">
        <v>46</v>
      </c>
      <c r="P44" s="23"/>
    </row>
    <row r="45" spans="1:16" ht="18" customHeight="1">
      <c r="A45" s="17"/>
      <c r="B45" s="3"/>
      <c r="C45" s="3">
        <v>1000000</v>
      </c>
      <c r="D45" s="8">
        <v>0</v>
      </c>
      <c r="E45" s="3">
        <v>0</v>
      </c>
      <c r="F45" s="25" t="str">
        <f ca="1">IF(AND(OFFSET(家賃シミュレーションシート!$Q$16,F$43,0)&lt;=$C45,OFFSET(家賃シミュレーションシート!$O$16,F$43,0)+OFFSET(家賃シミュレーションシート!$S$16,F$43,0)&gt;10000000,OFFSET(家賃シミュレーションシート!$O$16,F$43,0)+OFFSET(家賃シミュレーションシート!$S$16,F$43,0)&lt;=20000000,OFFSET(家賃シミュレーションシート!$E$16,F$43,0)&gt;=65),"●","-")</f>
        <v>-</v>
      </c>
      <c r="G45" s="3">
        <v>0</v>
      </c>
      <c r="H45" s="25" t="str">
        <f ca="1">IF(AND(OFFSET(家賃シミュレーションシート!$Q$16,H$43,0)&lt;=$C45,OFFSET(家賃シミュレーションシート!$O$16,H$43,0)+OFFSET(家賃シミュレーションシート!$S$16,H$43,0)&gt;10000000,OFFSET(家賃シミュレーションシート!$O$16,H$43,0)+OFFSET(家賃シミュレーションシート!$S$16,H$43,0)&lt;=20000000,OFFSET(家賃シミュレーションシート!$E$16,H$43,0)&gt;=65),"●","-")</f>
        <v>-</v>
      </c>
      <c r="I45" s="3">
        <v>0</v>
      </c>
      <c r="J45" s="25" t="str">
        <f ca="1">IF(AND(OFFSET(家賃シミュレーションシート!$Q$16,J$43,0)&lt;=$C45,OFFSET(家賃シミュレーションシート!$O$16,J$43,0)+OFFSET(家賃シミュレーションシート!$S$16,J$43,0)&gt;10000000,OFFSET(家賃シミュレーションシート!$O$16,J$43,0)+OFFSET(家賃シミュレーションシート!$S$16,J$43,0)&lt;=20000000,OFFSET(家賃シミュレーションシート!$E$16,J$43,0)&gt;=65),"●","-")</f>
        <v>-</v>
      </c>
      <c r="K45" s="3">
        <v>0</v>
      </c>
      <c r="L45" s="25" t="str">
        <f ca="1">IF(AND(OFFSET(家賃シミュレーションシート!$Q$16,L$43,0)&lt;=$C45,OFFSET(家賃シミュレーションシート!$O$16,L$43,0)+OFFSET(家賃シミュレーションシート!$S$16,L$43,0)&gt;10000000,OFFSET(家賃シミュレーションシート!$O$16,L$43,0)+OFFSET(家賃シミュレーションシート!$S$16,L$43,0)&lt;=20000000,OFFSET(家賃シミュレーションシート!$E$16,L$43,0)&gt;=65),"●","-")</f>
        <v>-</v>
      </c>
      <c r="M45" s="3">
        <v>0</v>
      </c>
      <c r="N45" s="25" t="str">
        <f ca="1">IF(AND(OFFSET(家賃シミュレーションシート!$Q$16,N$43,0)&lt;=$C45,OFFSET(家賃シミュレーションシート!$O$16,N$43,0)+OFFSET(家賃シミュレーションシート!$S$16,N$43,0)&gt;10000000,OFFSET(家賃シミュレーションシート!$O$16,N$43,0)+OFFSET(家賃シミュレーションシート!$S$16,N$43,0)&lt;=20000000,OFFSET(家賃シミュレーションシート!$E$16,N$43,0)&gt;=65),"●","-")</f>
        <v>-</v>
      </c>
      <c r="O45" s="3">
        <v>0</v>
      </c>
      <c r="P45" s="25" t="str">
        <f ca="1">IF(AND(OFFSET(家賃シミュレーションシート!$Q$16,P$43,0)&lt;=$C45,OFFSET(家賃シミュレーションシート!$O$16,P$43,0)+OFFSET(家賃シミュレーションシート!$S$16,P$43,0)&gt;10000000,OFFSET(家賃シミュレーションシート!$O$16,P$43,0)+OFFSET(家賃シミュレーションシート!$S$16,P$43,0)&lt;=20000000,OFFSET(家賃シミュレーションシート!$E$16,P$43,0)&gt;=65),"●","-")</f>
        <v>-</v>
      </c>
    </row>
    <row r="46" spans="1:16" ht="18" customHeight="1">
      <c r="A46" s="17"/>
      <c r="B46" s="3">
        <v>1000001</v>
      </c>
      <c r="C46" s="3">
        <v>3300000</v>
      </c>
      <c r="D46" s="8" t="s">
        <v>30</v>
      </c>
      <c r="E46" s="3">
        <f ca="1">OFFSET(家賃シミュレーションシート!$Q$16,E$43,0)-1000000</f>
        <v>-1000000</v>
      </c>
      <c r="F46" s="25" t="str">
        <f ca="1">IF(AND(OFFSET(家賃シミュレーションシート!$Q$16,F$43,0)&gt;=$B46,OFFSET(家賃シミュレーションシート!$Q$16,F$43,0)&lt;=$C46,OFFSET(家賃シミュレーションシート!$O$16,F$43,0)+OFFSET(家賃シミュレーションシート!$S$16,F$43,0)&gt;10000000,OFFSET(家賃シミュレーションシート!$O$16,F$43,0)+OFFSET(家賃シミュレーションシート!$S$16,F$43,0)&lt;=20000000,OFFSET(家賃シミュレーションシート!$E$16,F$43,0)&gt;=65),"●","-")</f>
        <v>-</v>
      </c>
      <c r="G46" s="3">
        <f ca="1">OFFSET(家賃シミュレーションシート!$Q$16,G$43,0)-1000000</f>
        <v>-1000000</v>
      </c>
      <c r="H46" s="25" t="str">
        <f ca="1">IF(AND(OFFSET(家賃シミュレーションシート!$Q$16,H$43,0)&gt;=$B46,OFFSET(家賃シミュレーションシート!$Q$16,H$43,0)&lt;=$C46,OFFSET(家賃シミュレーションシート!$O$16,H$43,0)+OFFSET(家賃シミュレーションシート!$S$16,H$43,0)&gt;10000000,OFFSET(家賃シミュレーションシート!$O$16,H$43,0)+OFFSET(家賃シミュレーションシート!$S$16,H$43,0)&lt;=20000000,OFFSET(家賃シミュレーションシート!$E$16,H$43,0)&gt;=65),"●","-")</f>
        <v>-</v>
      </c>
      <c r="I46" s="3">
        <f ca="1">OFFSET(家賃シミュレーションシート!$Q$16,I$43,0)-1000000</f>
        <v>-1000000</v>
      </c>
      <c r="J46" s="25" t="str">
        <f ca="1">IF(AND(OFFSET(家賃シミュレーションシート!$Q$16,J$43,0)&gt;=$B46,OFFSET(家賃シミュレーションシート!$Q$16,J$43,0)&lt;=$C46,OFFSET(家賃シミュレーションシート!$O$16,J$43,0)+OFFSET(家賃シミュレーションシート!$S$16,J$43,0)&gt;10000000,OFFSET(家賃シミュレーションシート!$O$16,J$43,0)+OFFSET(家賃シミュレーションシート!$S$16,J$43,0)&lt;=20000000,OFFSET(家賃シミュレーションシート!$E$16,J$43,0)&gt;=65),"●","-")</f>
        <v>-</v>
      </c>
      <c r="K46" s="3">
        <f ca="1">OFFSET(家賃シミュレーションシート!$Q$16,K$43,0)-1000000</f>
        <v>-1000000</v>
      </c>
      <c r="L46" s="25" t="str">
        <f ca="1">IF(AND(OFFSET(家賃シミュレーションシート!$Q$16,L$43,0)&gt;=$B46,OFFSET(家賃シミュレーションシート!$Q$16,L$43,0)&lt;=$C46,OFFSET(家賃シミュレーションシート!$O$16,L$43,0)+OFFSET(家賃シミュレーションシート!$S$16,L$43,0)&gt;10000000,OFFSET(家賃シミュレーションシート!$O$16,L$43,0)+OFFSET(家賃シミュレーションシート!$S$16,L$43,0)&lt;=20000000,OFFSET(家賃シミュレーションシート!$E$16,L$43,0)&gt;=65),"●","-")</f>
        <v>-</v>
      </c>
      <c r="M46" s="3">
        <f ca="1">OFFSET(家賃シミュレーションシート!$Q$16,M$43,0)-1000000</f>
        <v>-1000000</v>
      </c>
      <c r="N46" s="25" t="str">
        <f ca="1">IF(AND(OFFSET(家賃シミュレーションシート!$Q$16,N$43,0)&gt;=$B46,OFFSET(家賃シミュレーションシート!$Q$16,N$43,0)&lt;=$C46,OFFSET(家賃シミュレーションシート!$O$16,N$43,0)+OFFSET(家賃シミュレーションシート!$S$16,N$43,0)&gt;10000000,OFFSET(家賃シミュレーションシート!$O$16,N$43,0)+OFFSET(家賃シミュレーションシート!$S$16,N$43,0)&lt;=20000000,OFFSET(家賃シミュレーションシート!$E$16,N$43,0)&gt;=65),"●","-")</f>
        <v>-</v>
      </c>
      <c r="O46" s="3">
        <f ca="1">OFFSET(家賃シミュレーションシート!$Q$16,O$43,0)-1000000</f>
        <v>-1000000</v>
      </c>
      <c r="P46" s="25" t="str">
        <f ca="1">IF(AND(OFFSET(家賃シミュレーションシート!$Q$16,P$43,0)&gt;=$B46,OFFSET(家賃シミュレーションシート!$Q$16,P$43,0)&lt;=$C46,OFFSET(家賃シミュレーションシート!$O$16,P$43,0)+OFFSET(家賃シミュレーションシート!$S$16,P$43,0)&gt;10000000,OFFSET(家賃シミュレーションシート!$O$16,P$43,0)+OFFSET(家賃シミュレーションシート!$S$16,P$43,0)&lt;=20000000,OFFSET(家賃シミュレーションシート!$E$16,P$43,0)&gt;=65),"●","-")</f>
        <v>-</v>
      </c>
    </row>
    <row r="47" spans="1:16" ht="18" customHeight="1">
      <c r="A47" s="17"/>
      <c r="B47" s="3">
        <v>3300001</v>
      </c>
      <c r="C47" s="3">
        <v>4100000</v>
      </c>
      <c r="D47" s="8" t="s">
        <v>26</v>
      </c>
      <c r="E47" s="3">
        <f ca="1">OFFSET(家賃シミュレーションシート!$Q$16,E$43,0)*0.75-175000</f>
        <v>-175000</v>
      </c>
      <c r="F47" s="25" t="str">
        <f ca="1">IF(AND(OFFSET(家賃シミュレーションシート!$Q$16,F$43,0)&gt;=$B47,OFFSET(家賃シミュレーションシート!$Q$16,F$43,0)&lt;=$C47,OFFSET(家賃シミュレーションシート!$O$16,F$43,0)+OFFSET(家賃シミュレーションシート!$S$16,F$43,0)&gt;10000000,OFFSET(家賃シミュレーションシート!$O$16,F$43,0)+OFFSET(家賃シミュレーションシート!$S$16,F$43,0)&lt;=20000000,OFFSET(家賃シミュレーションシート!$E$16,F$43,0)&gt;=65),"●","-")</f>
        <v>-</v>
      </c>
      <c r="G47" s="3">
        <f ca="1">OFFSET(家賃シミュレーションシート!$Q$16,G$43,0)*0.75-175000</f>
        <v>-175000</v>
      </c>
      <c r="H47" s="25" t="str">
        <f ca="1">IF(AND(OFFSET(家賃シミュレーションシート!$Q$16,H$43,0)&gt;=$B47,OFFSET(家賃シミュレーションシート!$Q$16,H$43,0)&lt;=$C47,OFFSET(家賃シミュレーションシート!$O$16,H$43,0)+OFFSET(家賃シミュレーションシート!$S$16,H$43,0)&gt;10000000,OFFSET(家賃シミュレーションシート!$O$16,H$43,0)+OFFSET(家賃シミュレーションシート!$S$16,H$43,0)&lt;=20000000,OFFSET(家賃シミュレーションシート!$E$16,H$43,0)&gt;=65),"●","-")</f>
        <v>-</v>
      </c>
      <c r="I47" s="3">
        <f ca="1">OFFSET(家賃シミュレーションシート!$Q$16,I$43,0)*0.75-175000</f>
        <v>-175000</v>
      </c>
      <c r="J47" s="25" t="str">
        <f ca="1">IF(AND(OFFSET(家賃シミュレーションシート!$Q$16,J$43,0)&gt;=$B47,OFFSET(家賃シミュレーションシート!$Q$16,J$43,0)&lt;=$C47,OFFSET(家賃シミュレーションシート!$O$16,J$43,0)+OFFSET(家賃シミュレーションシート!$S$16,J$43,0)&gt;10000000,OFFSET(家賃シミュレーションシート!$O$16,J$43,0)+OFFSET(家賃シミュレーションシート!$S$16,J$43,0)&lt;=20000000,OFFSET(家賃シミュレーションシート!$E$16,J$43,0)&gt;=65),"●","-")</f>
        <v>-</v>
      </c>
      <c r="K47" s="3">
        <f ca="1">OFFSET(家賃シミュレーションシート!$Q$16,K$43,0)*0.75-175000</f>
        <v>-175000</v>
      </c>
      <c r="L47" s="25" t="str">
        <f ca="1">IF(AND(OFFSET(家賃シミュレーションシート!$Q$16,L$43,0)&gt;=$B47,OFFSET(家賃シミュレーションシート!$Q$16,L$43,0)&lt;=$C47,OFFSET(家賃シミュレーションシート!$O$16,L$43,0)+OFFSET(家賃シミュレーションシート!$S$16,L$43,0)&gt;10000000,OFFSET(家賃シミュレーションシート!$O$16,L$43,0)+OFFSET(家賃シミュレーションシート!$S$16,L$43,0)&lt;=20000000,OFFSET(家賃シミュレーションシート!$E$16,L$43,0)&gt;=65),"●","-")</f>
        <v>-</v>
      </c>
      <c r="M47" s="3">
        <f ca="1">OFFSET(家賃シミュレーションシート!$Q$16,M$43,0)*0.75-175000</f>
        <v>-175000</v>
      </c>
      <c r="N47" s="25" t="str">
        <f ca="1">IF(AND(OFFSET(家賃シミュレーションシート!$Q$16,N$43,0)&gt;=$B47,OFFSET(家賃シミュレーションシート!$Q$16,N$43,0)&lt;=$C47,OFFSET(家賃シミュレーションシート!$O$16,N$43,0)+OFFSET(家賃シミュレーションシート!$S$16,N$43,0)&gt;10000000,OFFSET(家賃シミュレーションシート!$O$16,N$43,0)+OFFSET(家賃シミュレーションシート!$S$16,N$43,0)&lt;=20000000,OFFSET(家賃シミュレーションシート!$E$16,N$43,0)&gt;=65),"●","-")</f>
        <v>-</v>
      </c>
      <c r="O47" s="3">
        <f ca="1">OFFSET(家賃シミュレーションシート!$Q$16,O$43,0)*0.75-175000</f>
        <v>-175000</v>
      </c>
      <c r="P47" s="25" t="str">
        <f ca="1">IF(AND(OFFSET(家賃シミュレーションシート!$Q$16,P$43,0)&gt;=$B47,OFFSET(家賃シミュレーションシート!$Q$16,P$43,0)&lt;=$C47,OFFSET(家賃シミュレーションシート!$O$16,P$43,0)+OFFSET(家賃シミュレーションシート!$S$16,P$43,0)&gt;10000000,OFFSET(家賃シミュレーションシート!$O$16,P$43,0)+OFFSET(家賃シミュレーションシート!$S$16,P$43,0)&lt;=20000000,OFFSET(家賃シミュレーションシート!$E$16,P$43,0)&gt;=65),"●","-")</f>
        <v>-</v>
      </c>
    </row>
    <row r="48" spans="1:16" ht="18" customHeight="1">
      <c r="A48" s="17"/>
      <c r="B48" s="3">
        <v>4100001</v>
      </c>
      <c r="C48" s="3">
        <v>7700000</v>
      </c>
      <c r="D48" s="8" t="s">
        <v>27</v>
      </c>
      <c r="E48" s="3">
        <f ca="1">OFFSET(家賃シミュレーションシート!$Q$16,E$43,0)*0.85-585000</f>
        <v>-585000</v>
      </c>
      <c r="F48" s="25" t="str">
        <f ca="1">IF(AND(OFFSET(家賃シミュレーションシート!$Q$16,F$43,0)&gt;=$B48,OFFSET(家賃シミュレーションシート!$Q$16,F$43,0)&lt;=$C48,OFFSET(家賃シミュレーションシート!$O$16,F$43,0)+OFFSET(家賃シミュレーションシート!$S$16,F$43,0)&gt;10000000,OFFSET(家賃シミュレーションシート!$O$16,F$43,0)+OFFSET(家賃シミュレーションシート!$S$16,F$43,0)&lt;=20000000,OFFSET(家賃シミュレーションシート!$E$16,F$43,0)&gt;=65),"●","-")</f>
        <v>-</v>
      </c>
      <c r="G48" s="3">
        <f ca="1">OFFSET(家賃シミュレーションシート!$Q$16,G$43,0)*0.85-585000</f>
        <v>-585000</v>
      </c>
      <c r="H48" s="25" t="str">
        <f ca="1">IF(AND(OFFSET(家賃シミュレーションシート!$Q$16,H$43,0)&gt;=$B48,OFFSET(家賃シミュレーションシート!$Q$16,H$43,0)&lt;=$C48,OFFSET(家賃シミュレーションシート!$O$16,H$43,0)+OFFSET(家賃シミュレーションシート!$S$16,H$43,0)&gt;10000000,OFFSET(家賃シミュレーションシート!$O$16,H$43,0)+OFFSET(家賃シミュレーションシート!$S$16,H$43,0)&lt;=20000000,OFFSET(家賃シミュレーションシート!$E$16,H$43,0)&gt;=65),"●","-")</f>
        <v>-</v>
      </c>
      <c r="I48" s="3">
        <f ca="1">OFFSET(家賃シミュレーションシート!$Q$16,I$43,0)*0.85-585000</f>
        <v>-585000</v>
      </c>
      <c r="J48" s="25" t="str">
        <f ca="1">IF(AND(OFFSET(家賃シミュレーションシート!$Q$16,J$43,0)&gt;=$B48,OFFSET(家賃シミュレーションシート!$Q$16,J$43,0)&lt;=$C48,OFFSET(家賃シミュレーションシート!$O$16,J$43,0)+OFFSET(家賃シミュレーションシート!$S$16,J$43,0)&gt;10000000,OFFSET(家賃シミュレーションシート!$O$16,J$43,0)+OFFSET(家賃シミュレーションシート!$S$16,J$43,0)&lt;=20000000,OFFSET(家賃シミュレーションシート!$E$16,J$43,0)&gt;=65),"●","-")</f>
        <v>-</v>
      </c>
      <c r="K48" s="3">
        <f ca="1">OFFSET(家賃シミュレーションシート!$Q$16,K$43,0)*0.85-585000</f>
        <v>-585000</v>
      </c>
      <c r="L48" s="25" t="str">
        <f ca="1">IF(AND(OFFSET(家賃シミュレーションシート!$Q$16,L$43,0)&gt;=$B48,OFFSET(家賃シミュレーションシート!$Q$16,L$43,0)&lt;=$C48,OFFSET(家賃シミュレーションシート!$O$16,L$43,0)+OFFSET(家賃シミュレーションシート!$S$16,L$43,0)&gt;10000000,OFFSET(家賃シミュレーションシート!$O$16,L$43,0)+OFFSET(家賃シミュレーションシート!$S$16,L$43,0)&lt;=20000000,OFFSET(家賃シミュレーションシート!$E$16,L$43,0)&gt;=65),"●","-")</f>
        <v>-</v>
      </c>
      <c r="M48" s="3">
        <f ca="1">OFFSET(家賃シミュレーションシート!$Q$16,M$43,0)*0.85-585000</f>
        <v>-585000</v>
      </c>
      <c r="N48" s="25" t="str">
        <f ca="1">IF(AND(OFFSET(家賃シミュレーションシート!$Q$16,N$43,0)&gt;=$B48,OFFSET(家賃シミュレーションシート!$Q$16,N$43,0)&lt;=$C48,OFFSET(家賃シミュレーションシート!$O$16,N$43,0)+OFFSET(家賃シミュレーションシート!$S$16,N$43,0)&gt;10000000,OFFSET(家賃シミュレーションシート!$O$16,N$43,0)+OFFSET(家賃シミュレーションシート!$S$16,N$43,0)&lt;=20000000,OFFSET(家賃シミュレーションシート!$E$16,N$43,0)&gt;=65),"●","-")</f>
        <v>-</v>
      </c>
      <c r="O48" s="3">
        <f ca="1">OFFSET(家賃シミュレーションシート!$Q$16,O$43,0)*0.85-585000</f>
        <v>-585000</v>
      </c>
      <c r="P48" s="25" t="str">
        <f ca="1">IF(AND(OFFSET(家賃シミュレーションシート!$Q$16,P$43,0)&gt;=$B48,OFFSET(家賃シミュレーションシート!$Q$16,P$43,0)&lt;=$C48,OFFSET(家賃シミュレーションシート!$O$16,P$43,0)+OFFSET(家賃シミュレーションシート!$S$16,P$43,0)&gt;10000000,OFFSET(家賃シミュレーションシート!$O$16,P$43,0)+OFFSET(家賃シミュレーションシート!$S$16,P$43,0)&lt;=20000000,OFFSET(家賃シミュレーションシート!$E$16,P$43,0)&gt;=65),"●","-")</f>
        <v>-</v>
      </c>
    </row>
    <row r="49" spans="1:16" ht="18" customHeight="1">
      <c r="A49" s="17"/>
      <c r="B49" s="3">
        <v>7700001</v>
      </c>
      <c r="C49" s="3">
        <v>10000000</v>
      </c>
      <c r="D49" s="8" t="s">
        <v>28</v>
      </c>
      <c r="E49" s="3">
        <f ca="1">OFFSET(家賃シミュレーションシート!$Q$16,E$43,0)*0.95-1355000</f>
        <v>-1355000</v>
      </c>
      <c r="F49" s="25" t="str">
        <f ca="1">IF(AND(OFFSET(家賃シミュレーションシート!$Q$16,F$43,0)&gt;=$B49,OFFSET(家賃シミュレーションシート!$Q$16,F$43,0)&lt;=$C49,OFFSET(家賃シミュレーションシート!$O$16,F$43,0)+OFFSET(家賃シミュレーションシート!$S$16,F$43,0)&gt;10000000,OFFSET(家賃シミュレーションシート!$O$16,F$43,0)+OFFSET(家賃シミュレーションシート!$S$16,F$43,0)&lt;=20000000,OFFSET(家賃シミュレーションシート!$E$16,F$43,0)&gt;=65),"●","-")</f>
        <v>-</v>
      </c>
      <c r="G49" s="3">
        <f ca="1">OFFSET(家賃シミュレーションシート!$Q$16,G$43,0)*0.95-1355000</f>
        <v>-1355000</v>
      </c>
      <c r="H49" s="25" t="str">
        <f ca="1">IF(AND(OFFSET(家賃シミュレーションシート!$Q$16,H$43,0)&gt;=$B49,OFFSET(家賃シミュレーションシート!$Q$16,H$43,0)&lt;=$C49,OFFSET(家賃シミュレーションシート!$O$16,H$43,0)+OFFSET(家賃シミュレーションシート!$S$16,H$43,0)&gt;10000000,OFFSET(家賃シミュレーションシート!$O$16,H$43,0)+OFFSET(家賃シミュレーションシート!$S$16,H$43,0)&lt;=20000000,OFFSET(家賃シミュレーションシート!$E$16,H$43,0)&gt;=65),"●","-")</f>
        <v>-</v>
      </c>
      <c r="I49" s="3">
        <f ca="1">OFFSET(家賃シミュレーションシート!$Q$16,I$43,0)*0.95-1355000</f>
        <v>-1355000</v>
      </c>
      <c r="J49" s="25" t="str">
        <f ca="1">IF(AND(OFFSET(家賃シミュレーションシート!$Q$16,J$43,0)&gt;=$B49,OFFSET(家賃シミュレーションシート!$Q$16,J$43,0)&lt;=$C49,OFFSET(家賃シミュレーションシート!$O$16,J$43,0)+OFFSET(家賃シミュレーションシート!$S$16,J$43,0)&gt;10000000,OFFSET(家賃シミュレーションシート!$O$16,J$43,0)+OFFSET(家賃シミュレーションシート!$S$16,J$43,0)&lt;=20000000,OFFSET(家賃シミュレーションシート!$E$16,J$43,0)&gt;=65),"●","-")</f>
        <v>-</v>
      </c>
      <c r="K49" s="3">
        <f ca="1">OFFSET(家賃シミュレーションシート!$Q$16,K$43,0)*0.95-1355000</f>
        <v>-1355000</v>
      </c>
      <c r="L49" s="25" t="str">
        <f ca="1">IF(AND(OFFSET(家賃シミュレーションシート!$Q$16,L$43,0)&gt;=$B49,OFFSET(家賃シミュレーションシート!$Q$16,L$43,0)&lt;=$C49,OFFSET(家賃シミュレーションシート!$O$16,L$43,0)+OFFSET(家賃シミュレーションシート!$S$16,L$43,0)&gt;10000000,OFFSET(家賃シミュレーションシート!$O$16,L$43,0)+OFFSET(家賃シミュレーションシート!$S$16,L$43,0)&lt;=20000000,OFFSET(家賃シミュレーションシート!$E$16,L$43,0)&gt;=65),"●","-")</f>
        <v>-</v>
      </c>
      <c r="M49" s="3">
        <f ca="1">OFFSET(家賃シミュレーションシート!$Q$16,M$43,0)*0.95-1355000</f>
        <v>-1355000</v>
      </c>
      <c r="N49" s="25" t="str">
        <f ca="1">IF(AND(OFFSET(家賃シミュレーションシート!$Q$16,N$43,0)&gt;=$B49,OFFSET(家賃シミュレーションシート!$Q$16,N$43,0)&lt;=$C49,OFFSET(家賃シミュレーションシート!$O$16,N$43,0)+OFFSET(家賃シミュレーションシート!$S$16,N$43,0)&gt;10000000,OFFSET(家賃シミュレーションシート!$O$16,N$43,0)+OFFSET(家賃シミュレーションシート!$S$16,N$43,0)&lt;=20000000,OFFSET(家賃シミュレーションシート!$E$16,N$43,0)&gt;=65),"●","-")</f>
        <v>-</v>
      </c>
      <c r="O49" s="3">
        <f ca="1">OFFSET(家賃シミュレーションシート!$Q$16,O$43,0)*0.95-1355000</f>
        <v>-1355000</v>
      </c>
      <c r="P49" s="25" t="str">
        <f ca="1">IF(AND(OFFSET(家賃シミュレーションシート!$Q$16,P$43,0)&gt;=$B49,OFFSET(家賃シミュレーションシート!$Q$16,P$43,0)&lt;=$C49,OFFSET(家賃シミュレーションシート!$O$16,P$43,0)+OFFSET(家賃シミュレーションシート!$S$16,P$43,0)&gt;10000000,OFFSET(家賃シミュレーションシート!$O$16,P$43,0)+OFFSET(家賃シミュレーションシート!$S$16,P$43,0)&lt;=20000000,OFFSET(家賃シミュレーションシート!$E$16,P$43,0)&gt;=65),"●","-")</f>
        <v>-</v>
      </c>
    </row>
    <row r="50" spans="1:16" ht="18" customHeight="1">
      <c r="A50" s="17"/>
      <c r="B50" s="3">
        <v>10000001</v>
      </c>
      <c r="C50" s="3"/>
      <c r="D50" s="8" t="s">
        <v>29</v>
      </c>
      <c r="E50" s="3">
        <f ca="1">OFFSET(家賃シミュレーションシート!$Q$16,E$43,0)-1855000</f>
        <v>-1855000</v>
      </c>
      <c r="F50" s="25" t="str">
        <f ca="1">IF(AND(OFFSET(家賃シミュレーションシート!$Q$16,F$43,0)&gt;=$B50,OFFSET(家賃シミュレーションシート!$O$16,F$43,0)+OFFSET(家賃シミュレーションシート!$S$16,F$43,0)&gt;10000000,OFFSET(家賃シミュレーションシート!$O$16,F$43,0)+OFFSET(家賃シミュレーションシート!$S$16,F$43,0)&lt;=20000000,OFFSET(家賃シミュレーションシート!$E$16,F$43,0)&gt;=65),"●","-")</f>
        <v>-</v>
      </c>
      <c r="G50" s="3">
        <f ca="1">OFFSET(家賃シミュレーションシート!$Q$16,G$43,0)-1855000</f>
        <v>-1855000</v>
      </c>
      <c r="H50" s="25" t="str">
        <f ca="1">IF(AND(OFFSET(家賃シミュレーションシート!$Q$16,H$43,0)&gt;=$B50,OFFSET(家賃シミュレーションシート!$O$16,H$43,0)+OFFSET(家賃シミュレーションシート!$S$16,H$43,0)&gt;10000000,OFFSET(家賃シミュレーションシート!$O$16,H$43,0)+OFFSET(家賃シミュレーションシート!$S$16,H$43,0)&lt;=20000000,OFFSET(家賃シミュレーションシート!$E$16,H$43,0)&gt;=65),"●","-")</f>
        <v>-</v>
      </c>
      <c r="I50" s="3">
        <f ca="1">OFFSET(家賃シミュレーションシート!$Q$16,I$43,0)-1855000</f>
        <v>-1855000</v>
      </c>
      <c r="J50" s="25" t="str">
        <f ca="1">IF(AND(OFFSET(家賃シミュレーションシート!$Q$16,J$43,0)&gt;=$B50,OFFSET(家賃シミュレーションシート!$O$16,J$43,0)+OFFSET(家賃シミュレーションシート!$S$16,J$43,0)&gt;10000000,OFFSET(家賃シミュレーションシート!$O$16,J$43,0)+OFFSET(家賃シミュレーションシート!$S$16,J$43,0)&lt;=20000000,OFFSET(家賃シミュレーションシート!$E$16,J$43,0)&gt;=65),"●","-")</f>
        <v>-</v>
      </c>
      <c r="K50" s="3">
        <f ca="1">OFFSET(家賃シミュレーションシート!$Q$16,K$43,0)-1855000</f>
        <v>-1855000</v>
      </c>
      <c r="L50" s="25" t="str">
        <f ca="1">IF(AND(OFFSET(家賃シミュレーションシート!$Q$16,L$43,0)&gt;=$B50,OFFSET(家賃シミュレーションシート!$O$16,L$43,0)+OFFSET(家賃シミュレーションシート!$S$16,L$43,0)&gt;10000000,OFFSET(家賃シミュレーションシート!$O$16,L$43,0)+OFFSET(家賃シミュレーションシート!$S$16,L$43,0)&lt;=20000000,OFFSET(家賃シミュレーションシート!$E$16,L$43,0)&gt;=65),"●","-")</f>
        <v>-</v>
      </c>
      <c r="M50" s="3">
        <f ca="1">OFFSET(家賃シミュレーションシート!$Q$16,M$43,0)-1855000</f>
        <v>-1855000</v>
      </c>
      <c r="N50" s="25" t="str">
        <f ca="1">IF(AND(OFFSET(家賃シミュレーションシート!$Q$16,N$43,0)&gt;=$B50,OFFSET(家賃シミュレーションシート!$O$16,N$43,0)+OFFSET(家賃シミュレーションシート!$S$16,N$43,0)&gt;10000000,OFFSET(家賃シミュレーションシート!$O$16,N$43,0)+OFFSET(家賃シミュレーションシート!$S$16,N$43,0)&lt;=20000000,OFFSET(家賃シミュレーションシート!$E$16,N$43,0)&gt;=65),"●","-")</f>
        <v>-</v>
      </c>
      <c r="O50" s="3">
        <f ca="1">OFFSET(家賃シミュレーションシート!$Q$16,O$43,0)-1855000</f>
        <v>-1855000</v>
      </c>
      <c r="P50" s="25" t="str">
        <f ca="1">IF(AND(OFFSET(家賃シミュレーションシート!$Q$16,P$43,0)&gt;=$B50,OFFSET(家賃シミュレーションシート!$O$16,P$43,0)+OFFSET(家賃シミュレーションシート!$S$16,P$43,0)&gt;10000000,OFFSET(家賃シミュレーションシート!$O$16,P$43,0)+OFFSET(家賃シミュレーションシート!$S$16,P$43,0)&lt;=20000000,OFFSET(家賃シミュレーションシート!$E$16,P$43,0)&gt;=65),"●","-")</f>
        <v>-</v>
      </c>
    </row>
    <row r="51" spans="1:16" s="20" customFormat="1" ht="18" customHeight="1">
      <c r="B51" s="21" t="s">
        <v>12</v>
      </c>
    </row>
    <row r="52" spans="1:16" s="20" customFormat="1" ht="18" customHeight="1">
      <c r="B52" s="21" t="s">
        <v>31</v>
      </c>
    </row>
    <row r="53" spans="1:16" ht="18" customHeight="1">
      <c r="A53" s="16"/>
      <c r="B53" s="1" t="s">
        <v>13</v>
      </c>
    </row>
    <row r="54" spans="1:16" ht="18" customHeight="1">
      <c r="A54" s="16"/>
      <c r="B54" s="11" t="s">
        <v>14</v>
      </c>
      <c r="C54" s="11"/>
      <c r="D54" s="15" t="s">
        <v>15</v>
      </c>
      <c r="E54" s="2">
        <v>0</v>
      </c>
      <c r="F54" s="2">
        <v>0</v>
      </c>
      <c r="G54" s="2">
        <v>2</v>
      </c>
      <c r="H54" s="2">
        <v>2</v>
      </c>
      <c r="I54" s="2">
        <v>4</v>
      </c>
      <c r="J54" s="2">
        <v>4</v>
      </c>
      <c r="K54" s="2">
        <v>6</v>
      </c>
      <c r="L54" s="2">
        <v>6</v>
      </c>
      <c r="M54" s="2">
        <v>8</v>
      </c>
      <c r="N54" s="2">
        <v>8</v>
      </c>
      <c r="O54" s="2">
        <v>10</v>
      </c>
      <c r="P54" s="2">
        <v>10</v>
      </c>
    </row>
    <row r="55" spans="1:16" ht="18" customHeight="1">
      <c r="A55" s="16"/>
      <c r="B55" s="13" t="s">
        <v>3</v>
      </c>
      <c r="C55" s="13" t="s">
        <v>4</v>
      </c>
      <c r="D55" s="14" t="s">
        <v>5</v>
      </c>
      <c r="E55" s="23" t="s">
        <v>49</v>
      </c>
      <c r="F55" s="23"/>
      <c r="G55" s="23" t="s">
        <v>42</v>
      </c>
      <c r="H55" s="23"/>
      <c r="I55" s="23" t="s">
        <v>43</v>
      </c>
      <c r="J55" s="23"/>
      <c r="K55" s="23" t="s">
        <v>44</v>
      </c>
      <c r="L55" s="23"/>
      <c r="M55" s="23" t="s">
        <v>45</v>
      </c>
      <c r="N55" s="23"/>
      <c r="O55" s="23" t="s">
        <v>46</v>
      </c>
      <c r="P55" s="23"/>
    </row>
    <row r="56" spans="1:16" ht="18" customHeight="1">
      <c r="A56" s="16"/>
      <c r="B56" s="3"/>
      <c r="C56" s="3">
        <v>400000</v>
      </c>
      <c r="D56" s="8">
        <v>0</v>
      </c>
      <c r="E56" s="3">
        <v>0</v>
      </c>
      <c r="F56" s="25" t="str">
        <f ca="1">IF(AND(OFFSET(家賃シミュレーションシート!$Q$16,F$54,0)&lt;=$C56,OFFSET(家賃シミュレーションシート!$O$16,F$54,0)+OFFSET(家賃シミュレーションシート!$S$16,F$54,0)&gt;20000000,OFFSET(家賃シミュレーションシート!$E$16,F$54,0)&lt;65),"●","-")</f>
        <v>-</v>
      </c>
      <c r="G56" s="3">
        <v>0</v>
      </c>
      <c r="H56" s="25" t="str">
        <f ca="1">IF(AND(OFFSET(家賃シミュレーションシート!$Q$16,H$54,0)&lt;=$C56,OFFSET(家賃シミュレーションシート!$O$16,H$54,0)+OFFSET(家賃シミュレーションシート!$S$16,H$54,0)&gt;20000000,OFFSET(家賃シミュレーションシート!$E$16,H$54,0)&lt;65),"●","-")</f>
        <v>-</v>
      </c>
      <c r="I56" s="3">
        <v>0</v>
      </c>
      <c r="J56" s="25" t="str">
        <f ca="1">IF(AND(OFFSET(家賃シミュレーションシート!$Q$16,J$54,0)&lt;=$C56,OFFSET(家賃シミュレーションシート!$O$16,J$54,0)+OFFSET(家賃シミュレーションシート!$S$16,J$54,0)&gt;20000000,OFFSET(家賃シミュレーションシート!$E$16,J$54,0)&lt;65),"●","-")</f>
        <v>-</v>
      </c>
      <c r="K56" s="3">
        <v>0</v>
      </c>
      <c r="L56" s="25" t="str">
        <f ca="1">IF(AND(OFFSET(家賃シミュレーションシート!$Q$16,L$54,0)&lt;=$C56,OFFSET(家賃シミュレーションシート!$O$16,L$54,0)+OFFSET(家賃シミュレーションシート!$S$16,L$54,0)&gt;20000000,OFFSET(家賃シミュレーションシート!$E$16,L$54,0)&lt;65),"●","-")</f>
        <v>-</v>
      </c>
      <c r="M56" s="3">
        <v>0</v>
      </c>
      <c r="N56" s="25" t="str">
        <f ca="1">IF(AND(OFFSET(家賃シミュレーションシート!$Q$16,N$54,0)&lt;=$C56,OFFSET(家賃シミュレーションシート!$O$16,N$54,0)+OFFSET(家賃シミュレーションシート!$S$16,N$54,0)&gt;20000000,OFFSET(家賃シミュレーションシート!$E$16,N$54,0)&lt;65),"●","-")</f>
        <v>-</v>
      </c>
      <c r="O56" s="3">
        <v>0</v>
      </c>
      <c r="P56" s="25" t="str">
        <f ca="1">IF(AND(OFFSET(家賃シミュレーションシート!$Q$16,P$54,0)&lt;=$C56,OFFSET(家賃シミュレーションシート!$O$16,P$54,0)+OFFSET(家賃シミュレーションシート!$S$16,P$54,0)&gt;20000000,OFFSET(家賃シミュレーションシート!$E$16,P$54,0)&lt;65),"●","-")</f>
        <v>-</v>
      </c>
    </row>
    <row r="57" spans="1:16" ht="18" customHeight="1">
      <c r="A57" s="16"/>
      <c r="B57" s="3">
        <v>400001</v>
      </c>
      <c r="C57" s="3">
        <v>1300000</v>
      </c>
      <c r="D57" s="8" t="s">
        <v>32</v>
      </c>
      <c r="E57" s="3">
        <f ca="1">OFFSET(家賃シミュレーションシート!$Q$16,E$54,0)-400000</f>
        <v>-400000</v>
      </c>
      <c r="F57" s="25" t="str">
        <f ca="1">IF(AND(OFFSET(家賃シミュレーションシート!$Q$16,F$54,0)&gt;=$B57,OFFSET(家賃シミュレーションシート!$Q$16,F$54,0)&lt;=$C57,OFFSET(家賃シミュレーションシート!$O$16,F$54,0)+OFFSET(家賃シミュレーションシート!$S$16,F$54,0)&gt;20000000,OFFSET(家賃シミュレーションシート!$E$16,F$54,0)&lt;65),"●","-")</f>
        <v>-</v>
      </c>
      <c r="G57" s="3">
        <f ca="1">OFFSET(家賃シミュレーションシート!$Q$16,G$54,0)-400000</f>
        <v>-400000</v>
      </c>
      <c r="H57" s="25" t="str">
        <f ca="1">IF(AND(OFFSET(家賃シミュレーションシート!$Q$16,H$54,0)&gt;=$B57,OFFSET(家賃シミュレーションシート!$Q$16,H$54,0)&lt;=$C57,OFFSET(家賃シミュレーションシート!$O$16,H$54,0)+OFFSET(家賃シミュレーションシート!$S$16,H$54,0)&gt;20000000,OFFSET(家賃シミュレーションシート!$E$16,H$54,0)&lt;65),"●","-")</f>
        <v>-</v>
      </c>
      <c r="I57" s="3">
        <f ca="1">OFFSET(家賃シミュレーションシート!$Q$16,I$54,0)-400000</f>
        <v>-400000</v>
      </c>
      <c r="J57" s="25" t="str">
        <f ca="1">IF(AND(OFFSET(家賃シミュレーションシート!$Q$16,J$54,0)&gt;=$B57,OFFSET(家賃シミュレーションシート!$Q$16,J$54,0)&lt;=$C57,OFFSET(家賃シミュレーションシート!$O$16,J$54,0)+OFFSET(家賃シミュレーションシート!$S$16,J$54,0)&gt;20000000,OFFSET(家賃シミュレーションシート!$E$16,J$54,0)&lt;65),"●","-")</f>
        <v>-</v>
      </c>
      <c r="K57" s="3">
        <f ca="1">OFFSET(家賃シミュレーションシート!$Q$16,K$54,0)-400000</f>
        <v>-400000</v>
      </c>
      <c r="L57" s="25" t="str">
        <f ca="1">IF(AND(OFFSET(家賃シミュレーションシート!$Q$16,L$54,0)&gt;=$B57,OFFSET(家賃シミュレーションシート!$Q$16,L$54,0)&lt;=$C57,OFFSET(家賃シミュレーションシート!$O$16,L$54,0)+OFFSET(家賃シミュレーションシート!$S$16,L$54,0)&gt;20000000,OFFSET(家賃シミュレーションシート!$E$16,L$54,0)&lt;65),"●","-")</f>
        <v>-</v>
      </c>
      <c r="M57" s="3">
        <f ca="1">OFFSET(家賃シミュレーションシート!$Q$16,M$54,0)-400000</f>
        <v>-400000</v>
      </c>
      <c r="N57" s="25" t="str">
        <f ca="1">IF(AND(OFFSET(家賃シミュレーションシート!$Q$16,N$54,0)&gt;=$B57,OFFSET(家賃シミュレーションシート!$Q$16,N$54,0)&lt;=$C57,OFFSET(家賃シミュレーションシート!$O$16,N$54,0)+OFFSET(家賃シミュレーションシート!$S$16,N$54,0)&gt;20000000,OFFSET(家賃シミュレーションシート!$E$16,N$54,0)&lt;65),"●","-")</f>
        <v>-</v>
      </c>
      <c r="O57" s="3">
        <f ca="1">OFFSET(家賃シミュレーションシート!$Q$16,O$54,0)-400000</f>
        <v>-400000</v>
      </c>
      <c r="P57" s="25" t="str">
        <f ca="1">IF(AND(OFFSET(家賃シミュレーションシート!$Q$16,P$54,0)&gt;=$B57,OFFSET(家賃シミュレーションシート!$Q$16,P$54,0)&lt;=$C57,OFFSET(家賃シミュレーションシート!$O$16,P$54,0)+OFFSET(家賃シミュレーションシート!$S$16,P$54,0)&gt;20000000,OFFSET(家賃シミュレーションシート!$E$16,P$54,0)&lt;65),"●","-")</f>
        <v>-</v>
      </c>
    </row>
    <row r="58" spans="1:16" ht="18" customHeight="1">
      <c r="A58" s="16"/>
      <c r="B58" s="3">
        <v>1300001</v>
      </c>
      <c r="C58" s="3">
        <v>4100000</v>
      </c>
      <c r="D58" s="8" t="s">
        <v>33</v>
      </c>
      <c r="E58" s="3">
        <f ca="1">OFFSET(家賃シミュレーションシート!$Q$16,E$54,0)*0.75-75000</f>
        <v>-75000</v>
      </c>
      <c r="F58" s="25" t="str">
        <f ca="1">IF(AND(OFFSET(家賃シミュレーションシート!$Q$16,F$54,0)&gt;=$B58,OFFSET(家賃シミュレーションシート!$Q$16,F$54,0)&lt;=$C58,OFFSET(家賃シミュレーションシート!$O$16,F$54,0)+OFFSET(家賃シミュレーションシート!$S$16,F$54,0)&gt;20000000,OFFSET(家賃シミュレーションシート!$E$16,F$54,0)&lt;65),"●","-")</f>
        <v>-</v>
      </c>
      <c r="G58" s="3">
        <f ca="1">OFFSET(家賃シミュレーションシート!$Q$16,G$54,0)*0.75-75000</f>
        <v>-75000</v>
      </c>
      <c r="H58" s="25" t="str">
        <f ca="1">IF(AND(OFFSET(家賃シミュレーションシート!$Q$16,H$54,0)&gt;=$B58,OFFSET(家賃シミュレーションシート!$Q$16,H$54,0)&lt;=$C58,OFFSET(家賃シミュレーションシート!$O$16,H$54,0)+OFFSET(家賃シミュレーションシート!$S$16,H$54,0)&gt;20000000,OFFSET(家賃シミュレーションシート!$E$16,H$54,0)&lt;65),"●","-")</f>
        <v>-</v>
      </c>
      <c r="I58" s="3">
        <f ca="1">OFFSET(家賃シミュレーションシート!$Q$16,I$54,0)*0.75-75000</f>
        <v>-75000</v>
      </c>
      <c r="J58" s="25" t="str">
        <f ca="1">IF(AND(OFFSET(家賃シミュレーションシート!$Q$16,J$54,0)&gt;=$B58,OFFSET(家賃シミュレーションシート!$Q$16,J$54,0)&lt;=$C58,OFFSET(家賃シミュレーションシート!$O$16,J$54,0)+OFFSET(家賃シミュレーションシート!$S$16,J$54,0)&gt;20000000,OFFSET(家賃シミュレーションシート!$E$16,J$54,0)&lt;65),"●","-")</f>
        <v>-</v>
      </c>
      <c r="K58" s="3">
        <f ca="1">OFFSET(家賃シミュレーションシート!$Q$16,K$54,0)*0.75-75000</f>
        <v>-75000</v>
      </c>
      <c r="L58" s="25" t="str">
        <f ca="1">IF(AND(OFFSET(家賃シミュレーションシート!$Q$16,L$54,0)&gt;=$B58,OFFSET(家賃シミュレーションシート!$Q$16,L$54,0)&lt;=$C58,OFFSET(家賃シミュレーションシート!$O$16,L$54,0)+OFFSET(家賃シミュレーションシート!$S$16,L$54,0)&gt;20000000,OFFSET(家賃シミュレーションシート!$E$16,L$54,0)&lt;65),"●","-")</f>
        <v>-</v>
      </c>
      <c r="M58" s="3">
        <f ca="1">OFFSET(家賃シミュレーションシート!$Q$16,M$54,0)*0.75-75000</f>
        <v>-75000</v>
      </c>
      <c r="N58" s="25" t="str">
        <f ca="1">IF(AND(OFFSET(家賃シミュレーションシート!$Q$16,N$54,0)&gt;=$B58,OFFSET(家賃シミュレーションシート!$Q$16,N$54,0)&lt;=$C58,OFFSET(家賃シミュレーションシート!$O$16,N$54,0)+OFFSET(家賃シミュレーションシート!$S$16,N$54,0)&gt;20000000,OFFSET(家賃シミュレーションシート!$E$16,N$54,0)&lt;65),"●","-")</f>
        <v>-</v>
      </c>
      <c r="O58" s="3">
        <f ca="1">OFFSET(家賃シミュレーションシート!$Q$16,O$54,0)*0.75-75000</f>
        <v>-75000</v>
      </c>
      <c r="P58" s="25" t="str">
        <f ca="1">IF(AND(OFFSET(家賃シミュレーションシート!$Q$16,P$54,0)&gt;=$B58,OFFSET(家賃シミュレーションシート!$Q$16,P$54,0)&lt;=$C58,OFFSET(家賃シミュレーションシート!$O$16,P$54,0)+OFFSET(家賃シミュレーションシート!$S$16,P$54,0)&gt;20000000,OFFSET(家賃シミュレーションシート!$E$16,P$54,0)&lt;65),"●","-")</f>
        <v>-</v>
      </c>
    </row>
    <row r="59" spans="1:16" ht="18" customHeight="1">
      <c r="A59" s="16"/>
      <c r="B59" s="3">
        <v>4100001</v>
      </c>
      <c r="C59" s="3">
        <v>7700000</v>
      </c>
      <c r="D59" s="8" t="s">
        <v>34</v>
      </c>
      <c r="E59" s="3">
        <f ca="1">OFFSET(家賃シミュレーションシート!$Q$16,E$54,0)*0.85-485000</f>
        <v>-485000</v>
      </c>
      <c r="F59" s="25" t="str">
        <f ca="1">IF(AND(OFFSET(家賃シミュレーションシート!$Q$16,F$54,0)&gt;=$B59,OFFSET(家賃シミュレーションシート!$Q$16,F$54,0)&lt;=$C59,OFFSET(家賃シミュレーションシート!$O$16,F$54,0)+OFFSET(家賃シミュレーションシート!$S$16,F$54,0)&gt;20000000,OFFSET(家賃シミュレーションシート!$E$16,F$54,0)&lt;65),"●","-")</f>
        <v>-</v>
      </c>
      <c r="G59" s="3">
        <f ca="1">OFFSET(家賃シミュレーションシート!$Q$16,G$54,0)*0.85-485000</f>
        <v>-485000</v>
      </c>
      <c r="H59" s="25" t="str">
        <f ca="1">IF(AND(OFFSET(家賃シミュレーションシート!$Q$16,H$54,0)&gt;=$B59,OFFSET(家賃シミュレーションシート!$Q$16,H$54,0)&lt;=$C59,OFFSET(家賃シミュレーションシート!$O$16,H$54,0)+OFFSET(家賃シミュレーションシート!$S$16,H$54,0)&gt;20000000,OFFSET(家賃シミュレーションシート!$E$16,H$54,0)&lt;65),"●","-")</f>
        <v>-</v>
      </c>
      <c r="I59" s="3">
        <f ca="1">OFFSET(家賃シミュレーションシート!$Q$16,I$54,0)*0.85-485000</f>
        <v>-485000</v>
      </c>
      <c r="J59" s="25" t="str">
        <f ca="1">IF(AND(OFFSET(家賃シミュレーションシート!$Q$16,J$54,0)&gt;=$B59,OFFSET(家賃シミュレーションシート!$Q$16,J$54,0)&lt;=$C59,OFFSET(家賃シミュレーションシート!$O$16,J$54,0)+OFFSET(家賃シミュレーションシート!$S$16,J$54,0)&gt;20000000,OFFSET(家賃シミュレーションシート!$E$16,J$54,0)&lt;65),"●","-")</f>
        <v>-</v>
      </c>
      <c r="K59" s="3">
        <f ca="1">OFFSET(家賃シミュレーションシート!$Q$16,K$54,0)*0.85-485000</f>
        <v>-485000</v>
      </c>
      <c r="L59" s="25" t="str">
        <f ca="1">IF(AND(OFFSET(家賃シミュレーションシート!$Q$16,L$54,0)&gt;=$B59,OFFSET(家賃シミュレーションシート!$Q$16,L$54,0)&lt;=$C59,OFFSET(家賃シミュレーションシート!$O$16,L$54,0)+OFFSET(家賃シミュレーションシート!$S$16,L$54,0)&gt;20000000,OFFSET(家賃シミュレーションシート!$E$16,L$54,0)&lt;65),"●","-")</f>
        <v>-</v>
      </c>
      <c r="M59" s="3">
        <f ca="1">OFFSET(家賃シミュレーションシート!$Q$16,M$54,0)*0.85-485000</f>
        <v>-485000</v>
      </c>
      <c r="N59" s="25" t="str">
        <f ca="1">IF(AND(OFFSET(家賃シミュレーションシート!$Q$16,N$54,0)&gt;=$B59,OFFSET(家賃シミュレーションシート!$Q$16,N$54,0)&lt;=$C59,OFFSET(家賃シミュレーションシート!$O$16,N$54,0)+OFFSET(家賃シミュレーションシート!$S$16,N$54,0)&gt;20000000,OFFSET(家賃シミュレーションシート!$E$16,N$54,0)&lt;65),"●","-")</f>
        <v>-</v>
      </c>
      <c r="O59" s="3">
        <f ca="1">OFFSET(家賃シミュレーションシート!$Q$16,O$54,0)*0.85-485000</f>
        <v>-485000</v>
      </c>
      <c r="P59" s="25" t="str">
        <f ca="1">IF(AND(OFFSET(家賃シミュレーションシート!$Q$16,P$54,0)&gt;=$B59,OFFSET(家賃シミュレーションシート!$Q$16,P$54,0)&lt;=$C59,OFFSET(家賃シミュレーションシート!$O$16,P$54,0)+OFFSET(家賃シミュレーションシート!$S$16,P$54,0)&gt;20000000,OFFSET(家賃シミュレーションシート!$E$16,P$54,0)&lt;65),"●","-")</f>
        <v>-</v>
      </c>
    </row>
    <row r="60" spans="1:16" ht="18" customHeight="1">
      <c r="A60" s="16"/>
      <c r="B60" s="3">
        <v>7700001</v>
      </c>
      <c r="C60" s="3">
        <v>10000000</v>
      </c>
      <c r="D60" s="8" t="s">
        <v>35</v>
      </c>
      <c r="E60" s="3">
        <f ca="1">OFFSET(家賃シミュレーションシート!$Q$16,E$54,0)*0.95-1255000</f>
        <v>-1255000</v>
      </c>
      <c r="F60" s="25" t="str">
        <f ca="1">IF(AND(OFFSET(家賃シミュレーションシート!$Q$16,F$54,0)&gt;=$B60,OFFSET(家賃シミュレーションシート!$Q$16,F$54,0)&lt;=$C60,OFFSET(家賃シミュレーションシート!$O$16,F$54,0)+OFFSET(家賃シミュレーションシート!$S$16,F$54,0)&gt;20000000,OFFSET(家賃シミュレーションシート!$E$16,F$54,0)&lt;65),"●","-")</f>
        <v>-</v>
      </c>
      <c r="G60" s="3">
        <f ca="1">OFFSET(家賃シミュレーションシート!$Q$16,G$54,0)*0.95-1255000</f>
        <v>-1255000</v>
      </c>
      <c r="H60" s="25" t="str">
        <f ca="1">IF(AND(OFFSET(家賃シミュレーションシート!$Q$16,H$54,0)&gt;=$B60,OFFSET(家賃シミュレーションシート!$Q$16,H$54,0)&lt;=$C60,OFFSET(家賃シミュレーションシート!$O$16,H$54,0)+OFFSET(家賃シミュレーションシート!$S$16,H$54,0)&gt;20000000,OFFSET(家賃シミュレーションシート!$E$16,H$54,0)&lt;65),"●","-")</f>
        <v>-</v>
      </c>
      <c r="I60" s="3">
        <f ca="1">OFFSET(家賃シミュレーションシート!$Q$16,I$54,0)*0.95-1255000</f>
        <v>-1255000</v>
      </c>
      <c r="J60" s="25" t="str">
        <f ca="1">IF(AND(OFFSET(家賃シミュレーションシート!$Q$16,J$54,0)&gt;=$B60,OFFSET(家賃シミュレーションシート!$Q$16,J$54,0)&lt;=$C60,OFFSET(家賃シミュレーションシート!$O$16,J$54,0)+OFFSET(家賃シミュレーションシート!$S$16,J$54,0)&gt;20000000,OFFSET(家賃シミュレーションシート!$E$16,J$54,0)&lt;65),"●","-")</f>
        <v>-</v>
      </c>
      <c r="K60" s="3">
        <f ca="1">OFFSET(家賃シミュレーションシート!$Q$16,K$54,0)*0.95-1255000</f>
        <v>-1255000</v>
      </c>
      <c r="L60" s="25" t="str">
        <f ca="1">IF(AND(OFFSET(家賃シミュレーションシート!$Q$16,L$54,0)&gt;=$B60,OFFSET(家賃シミュレーションシート!$Q$16,L$54,0)&lt;=$C60,OFFSET(家賃シミュレーションシート!$O$16,L$54,0)+OFFSET(家賃シミュレーションシート!$S$16,L$54,0)&gt;20000000,OFFSET(家賃シミュレーションシート!$E$16,L$54,0)&lt;65),"●","-")</f>
        <v>-</v>
      </c>
      <c r="M60" s="3">
        <f ca="1">OFFSET(家賃シミュレーションシート!$Q$16,M$54,0)*0.95-1255000</f>
        <v>-1255000</v>
      </c>
      <c r="N60" s="25" t="str">
        <f ca="1">IF(AND(OFFSET(家賃シミュレーションシート!$Q$16,N$54,0)&gt;=$B60,OFFSET(家賃シミュレーションシート!$Q$16,N$54,0)&lt;=$C60,OFFSET(家賃シミュレーションシート!$O$16,N$54,0)+OFFSET(家賃シミュレーションシート!$S$16,N$54,0)&gt;20000000,OFFSET(家賃シミュレーションシート!$E$16,N$54,0)&lt;65),"●","-")</f>
        <v>-</v>
      </c>
      <c r="O60" s="3">
        <f ca="1">OFFSET(家賃シミュレーションシート!$Q$16,O$54,0)*0.95-1255000</f>
        <v>-1255000</v>
      </c>
      <c r="P60" s="25" t="str">
        <f ca="1">IF(AND(OFFSET(家賃シミュレーションシート!$Q$16,P$54,0)&gt;=$B60,OFFSET(家賃シミュレーションシート!$Q$16,P$54,0)&lt;=$C60,OFFSET(家賃シミュレーションシート!$O$16,P$54,0)+OFFSET(家賃シミュレーションシート!$S$16,P$54,0)&gt;20000000,OFFSET(家賃シミュレーションシート!$E$16,P$54,0)&lt;65),"●","-")</f>
        <v>-</v>
      </c>
    </row>
    <row r="61" spans="1:16" ht="18" customHeight="1">
      <c r="A61" s="16"/>
      <c r="B61" s="3">
        <v>10000001</v>
      </c>
      <c r="C61" s="3"/>
      <c r="D61" s="8" t="s">
        <v>36</v>
      </c>
      <c r="E61" s="3">
        <f ca="1">OFFSET(家賃シミュレーションシート!$Q$16,E$54,0)-1755000</f>
        <v>-1755000</v>
      </c>
      <c r="F61" s="25" t="str">
        <f ca="1">IF(AND(OFFSET(家賃シミュレーションシート!$Q$16,F$54,0)&gt;=$B61,OFFSET(家賃シミュレーションシート!$O$16,F$54,0)+OFFSET(家賃シミュレーションシート!$S$16,F$54,0)&gt;20000000,OFFSET(家賃シミュレーションシート!$E$16,F$54,0)&lt;65),"●","-")</f>
        <v>-</v>
      </c>
      <c r="G61" s="3">
        <f ca="1">OFFSET(家賃シミュレーションシート!$Q$16,G$54,0)-1755000</f>
        <v>-1755000</v>
      </c>
      <c r="H61" s="25" t="str">
        <f ca="1">IF(AND(OFFSET(家賃シミュレーションシート!$Q$16,H$54,0)&gt;=$B61,OFFSET(家賃シミュレーションシート!$O$16,H$54,0)+OFFSET(家賃シミュレーションシート!$S$16,H$54,0)&gt;20000000,OFFSET(家賃シミュレーションシート!$E$16,H$54,0)&lt;65),"●","-")</f>
        <v>-</v>
      </c>
      <c r="I61" s="3">
        <f ca="1">OFFSET(家賃シミュレーションシート!$Q$16,I$54,0)-1755000</f>
        <v>-1755000</v>
      </c>
      <c r="J61" s="25" t="str">
        <f ca="1">IF(AND(OFFSET(家賃シミュレーションシート!$Q$16,J$54,0)&gt;=$B61,OFFSET(家賃シミュレーションシート!$O$16,J$54,0)+OFFSET(家賃シミュレーションシート!$S$16,J$54,0)&gt;20000000,OFFSET(家賃シミュレーションシート!$E$16,J$54,0)&lt;65),"●","-")</f>
        <v>-</v>
      </c>
      <c r="K61" s="3">
        <f ca="1">OFFSET(家賃シミュレーションシート!$Q$16,K$54,0)-1755000</f>
        <v>-1755000</v>
      </c>
      <c r="L61" s="25" t="str">
        <f ca="1">IF(AND(OFFSET(家賃シミュレーションシート!$Q$16,L$54,0)&gt;=$B61,OFFSET(家賃シミュレーションシート!$O$16,L$54,0)+OFFSET(家賃シミュレーションシート!$S$16,L$54,0)&gt;20000000,OFFSET(家賃シミュレーションシート!$E$16,L$54,0)&lt;65),"●","-")</f>
        <v>-</v>
      </c>
      <c r="M61" s="3">
        <f ca="1">OFFSET(家賃シミュレーションシート!$Q$16,M$54,0)-1755000</f>
        <v>-1755000</v>
      </c>
      <c r="N61" s="25" t="str">
        <f ca="1">IF(AND(OFFSET(家賃シミュレーションシート!$Q$16,N$54,0)&gt;=$B61,OFFSET(家賃シミュレーションシート!$O$16,N$54,0)+OFFSET(家賃シミュレーションシート!$S$16,N$54,0)&gt;20000000,OFFSET(家賃シミュレーションシート!$E$16,N$54,0)&lt;65),"●","-")</f>
        <v>-</v>
      </c>
      <c r="O61" s="3">
        <f ca="1">OFFSET(家賃シミュレーションシート!$Q$16,O$54,0)-1755000</f>
        <v>-1755000</v>
      </c>
      <c r="P61" s="25" t="str">
        <f ca="1">IF(AND(OFFSET(家賃シミュレーションシート!$Q$16,P$54,0)&gt;=$B61,OFFSET(家賃シミュレーションシート!$O$16,P$54,0)+OFFSET(家賃シミュレーションシート!$S$16,P$54,0)&gt;20000000,OFFSET(家賃シミュレーションシート!$E$16,P$54,0)&lt;65),"●","-")</f>
        <v>-</v>
      </c>
    </row>
    <row r="62" spans="1:16" ht="18" customHeight="1">
      <c r="A62" s="16"/>
      <c r="B62" s="1" t="s">
        <v>21</v>
      </c>
    </row>
    <row r="63" spans="1:16" ht="18" customHeight="1">
      <c r="A63" s="16"/>
      <c r="B63" s="11" t="s">
        <v>14</v>
      </c>
      <c r="C63" s="11"/>
      <c r="D63" s="15" t="s">
        <v>15</v>
      </c>
      <c r="E63" s="2">
        <v>0</v>
      </c>
      <c r="F63" s="2">
        <v>0</v>
      </c>
      <c r="G63" s="2">
        <v>2</v>
      </c>
      <c r="H63" s="2">
        <v>2</v>
      </c>
      <c r="I63" s="2">
        <v>4</v>
      </c>
      <c r="J63" s="2">
        <v>4</v>
      </c>
      <c r="K63" s="2">
        <v>6</v>
      </c>
      <c r="L63" s="2">
        <v>6</v>
      </c>
      <c r="M63" s="2">
        <v>8</v>
      </c>
      <c r="N63" s="2">
        <v>8</v>
      </c>
      <c r="O63" s="2">
        <v>10</v>
      </c>
      <c r="P63" s="2">
        <v>10</v>
      </c>
    </row>
    <row r="64" spans="1:16" ht="18" customHeight="1">
      <c r="A64" s="16"/>
      <c r="B64" s="13" t="s">
        <v>3</v>
      </c>
      <c r="C64" s="13" t="s">
        <v>4</v>
      </c>
      <c r="D64" s="14" t="s">
        <v>5</v>
      </c>
      <c r="E64" s="23" t="s">
        <v>49</v>
      </c>
      <c r="F64" s="23"/>
      <c r="G64" s="23" t="s">
        <v>42</v>
      </c>
      <c r="H64" s="23"/>
      <c r="I64" s="23" t="s">
        <v>43</v>
      </c>
      <c r="J64" s="23"/>
      <c r="K64" s="23" t="s">
        <v>44</v>
      </c>
      <c r="L64" s="23"/>
      <c r="M64" s="23" t="s">
        <v>45</v>
      </c>
      <c r="N64" s="23"/>
      <c r="O64" s="23" t="s">
        <v>46</v>
      </c>
      <c r="P64" s="23"/>
    </row>
    <row r="65" spans="1:16" ht="18" customHeight="1">
      <c r="A65" s="16"/>
      <c r="B65" s="3"/>
      <c r="C65" s="3">
        <v>900000</v>
      </c>
      <c r="D65" s="8">
        <v>0</v>
      </c>
      <c r="E65" s="3">
        <v>0</v>
      </c>
      <c r="F65" s="25" t="str">
        <f ca="1">IF(AND(OFFSET(家賃シミュレーションシート!$Q$16,F$63,0)&lt;=$C65,OFFSET(家賃シミュレーションシート!$O$16,F$63,0)+OFFSET(家賃シミュレーションシート!$S$16,F$63,0)&gt;20000000,OFFSET(家賃シミュレーションシート!$E$16,F$63,0)&gt;=65),"●","-")</f>
        <v>-</v>
      </c>
      <c r="G65" s="3">
        <v>0</v>
      </c>
      <c r="H65" s="25" t="str">
        <f ca="1">IF(AND(OFFSET(家賃シミュレーションシート!$Q$16,H$63,0)&lt;=$C65,OFFSET(家賃シミュレーションシート!$O$16,H$63,0)+OFFSET(家賃シミュレーションシート!$S$16,H$63,0)&gt;20000000,OFFSET(家賃シミュレーションシート!$E$16,H$63,0)&gt;=65),"●","-")</f>
        <v>-</v>
      </c>
      <c r="I65" s="3">
        <v>0</v>
      </c>
      <c r="J65" s="25" t="str">
        <f ca="1">IF(AND(OFFSET(家賃シミュレーションシート!$Q$16,J$63,0)&lt;=$C65,OFFSET(家賃シミュレーションシート!$O$16,J$63,0)+OFFSET(家賃シミュレーションシート!$S$16,J$63,0)&gt;20000000,OFFSET(家賃シミュレーションシート!$E$16,J$63,0)&gt;=65),"●","-")</f>
        <v>-</v>
      </c>
      <c r="K65" s="3">
        <v>0</v>
      </c>
      <c r="L65" s="25" t="str">
        <f ca="1">IF(AND(OFFSET(家賃シミュレーションシート!$Q$16,L$63,0)&lt;=$C65,OFFSET(家賃シミュレーションシート!$O$16,L$63,0)+OFFSET(家賃シミュレーションシート!$S$16,L$63,0)&gt;20000000,OFFSET(家賃シミュレーションシート!$E$16,L$63,0)&gt;=65),"●","-")</f>
        <v>-</v>
      </c>
      <c r="M65" s="3">
        <v>0</v>
      </c>
      <c r="N65" s="25" t="str">
        <f ca="1">IF(AND(OFFSET(家賃シミュレーションシート!$Q$16,N$63,0)&lt;=$C65,OFFSET(家賃シミュレーションシート!$O$16,N$63,0)+OFFSET(家賃シミュレーションシート!$S$16,N$63,0)&gt;20000000,OFFSET(家賃シミュレーションシート!$E$16,N$63,0)&gt;=65),"●","-")</f>
        <v>-</v>
      </c>
      <c r="O65" s="3">
        <v>0</v>
      </c>
      <c r="P65" s="25" t="str">
        <f ca="1">IF(AND(OFFSET(家賃シミュレーションシート!$Q$16,P$63,0)&lt;=$C65,OFFSET(家賃シミュレーションシート!$O$16,P$63,0)+OFFSET(家賃シミュレーションシート!$S$16,P$63,0)&gt;20000000,OFFSET(家賃シミュレーションシート!$E$16,P$63,0)&gt;=65),"●","-")</f>
        <v>-</v>
      </c>
    </row>
    <row r="66" spans="1:16" ht="18" customHeight="1">
      <c r="A66" s="16"/>
      <c r="B66" s="3">
        <v>900001</v>
      </c>
      <c r="C66" s="3">
        <v>3300000</v>
      </c>
      <c r="D66" s="8" t="s">
        <v>37</v>
      </c>
      <c r="E66" s="3">
        <f ca="1">OFFSET(家賃シミュレーションシート!$Q$16,E63,0)-900000</f>
        <v>-900000</v>
      </c>
      <c r="F66" s="25" t="str">
        <f ca="1">IF(AND(OFFSET(家賃シミュレーションシート!$Q$16,F$63,0)&gt;=$B66,OFFSET(家賃シミュレーションシート!$Q$16,F$63,0)&lt;=$C66,OFFSET(家賃シミュレーションシート!$O$16,F$63,0)+OFFSET(家賃シミュレーションシート!$S$16,F$63,0)&gt;20000000,OFFSET(家賃シミュレーションシート!$E$16,F$63,0)&gt;=65),"●","-")</f>
        <v>-</v>
      </c>
      <c r="G66" s="3">
        <f ca="1">OFFSET(家賃シミュレーションシート!$Q$16,G63,0)-900000</f>
        <v>-900000</v>
      </c>
      <c r="H66" s="25" t="str">
        <f ca="1">IF(AND(OFFSET(家賃シミュレーションシート!$Q$16,H$63,0)&gt;=$B66,OFFSET(家賃シミュレーションシート!$Q$16,H$63,0)&lt;=$C66,OFFSET(家賃シミュレーションシート!$O$16,H$63,0)+OFFSET(家賃シミュレーションシート!$S$16,H$63,0)&gt;20000000,OFFSET(家賃シミュレーションシート!$E$16,H$63,0)&gt;=65),"●","-")</f>
        <v>-</v>
      </c>
      <c r="I66" s="3">
        <f ca="1">OFFSET(家賃シミュレーションシート!$Q$16,I63,0)-900000</f>
        <v>-900000</v>
      </c>
      <c r="J66" s="25" t="str">
        <f ca="1">IF(AND(OFFSET(家賃シミュレーションシート!$Q$16,J$63,0)&gt;=$B66,OFFSET(家賃シミュレーションシート!$Q$16,J$63,0)&lt;=$C66,OFFSET(家賃シミュレーションシート!$O$16,J$63,0)+OFFSET(家賃シミュレーションシート!$S$16,J$63,0)&gt;20000000,OFFSET(家賃シミュレーションシート!$E$16,J$63,0)&gt;=65),"●","-")</f>
        <v>-</v>
      </c>
      <c r="K66" s="3">
        <f ca="1">OFFSET(家賃シミュレーションシート!$Q$16,K63,0)-900000</f>
        <v>-900000</v>
      </c>
      <c r="L66" s="25" t="str">
        <f ca="1">IF(AND(OFFSET(家賃シミュレーションシート!$Q$16,L$63,0)&gt;=$B66,OFFSET(家賃シミュレーションシート!$Q$16,L$63,0)&lt;=$C66,OFFSET(家賃シミュレーションシート!$O$16,L$63,0)+OFFSET(家賃シミュレーションシート!$S$16,L$63,0)&gt;20000000,OFFSET(家賃シミュレーションシート!$E$16,L$63,0)&gt;=65),"●","-")</f>
        <v>-</v>
      </c>
      <c r="M66" s="3">
        <f ca="1">OFFSET(家賃シミュレーションシート!$Q$16,M63,0)-900000</f>
        <v>-900000</v>
      </c>
      <c r="N66" s="25" t="str">
        <f ca="1">IF(AND(OFFSET(家賃シミュレーションシート!$Q$16,N$63,0)&gt;=$B66,OFFSET(家賃シミュレーションシート!$Q$16,N$63,0)&lt;=$C66,OFFSET(家賃シミュレーションシート!$O$16,N$63,0)+OFFSET(家賃シミュレーションシート!$S$16,N$63,0)&gt;20000000,OFFSET(家賃シミュレーションシート!$E$16,N$63,0)&gt;=65),"●","-")</f>
        <v>-</v>
      </c>
      <c r="O66" s="3">
        <f ca="1">OFFSET(家賃シミュレーションシート!$Q$16,O63,0)-900000</f>
        <v>-900000</v>
      </c>
      <c r="P66" s="25" t="str">
        <f ca="1">IF(AND(OFFSET(家賃シミュレーションシート!$Q$16,P$63,0)&gt;=$B66,OFFSET(家賃シミュレーションシート!$Q$16,P$63,0)&lt;=$C66,OFFSET(家賃シミュレーションシート!$O$16,P$63,0)+OFFSET(家賃シミュレーションシート!$S$16,P$63,0)&gt;20000000,OFFSET(家賃シミュレーションシート!$E$16,P$63,0)&gt;=65),"●","-")</f>
        <v>-</v>
      </c>
    </row>
    <row r="67" spans="1:16" ht="18" customHeight="1">
      <c r="A67" s="16"/>
      <c r="B67" s="3">
        <v>3300001</v>
      </c>
      <c r="C67" s="3">
        <v>4100000</v>
      </c>
      <c r="D67" s="8" t="s">
        <v>33</v>
      </c>
      <c r="E67" s="3">
        <f ca="1">OFFSET(家賃シミュレーションシート!$Q$16,E63,0)*0.75-75000</f>
        <v>-75000</v>
      </c>
      <c r="F67" s="25" t="str">
        <f ca="1">IF(AND(OFFSET(家賃シミュレーションシート!$Q$16,F$63,0)&gt;=$B67,OFFSET(家賃シミュレーションシート!$Q$16,F$63,0)&lt;=$C67,OFFSET(家賃シミュレーションシート!$O$16,F$63,0)+OFFSET(家賃シミュレーションシート!$S$16,F$63,0)&gt;20000000,OFFSET(家賃シミュレーションシート!$E$16,F$63,0)&gt;=65),"●","-")</f>
        <v>-</v>
      </c>
      <c r="G67" s="3">
        <f ca="1">OFFSET(家賃シミュレーションシート!$Q$16,G63,0)*0.75-75000</f>
        <v>-75000</v>
      </c>
      <c r="H67" s="25" t="str">
        <f ca="1">IF(AND(OFFSET(家賃シミュレーションシート!$Q$16,H$63,0)&gt;=$B67,OFFSET(家賃シミュレーションシート!$Q$16,H$63,0)&lt;=$C67,OFFSET(家賃シミュレーションシート!$O$16,H$63,0)+OFFSET(家賃シミュレーションシート!$S$16,H$63,0)&gt;20000000,OFFSET(家賃シミュレーションシート!$E$16,H$63,0)&gt;=65),"●","-")</f>
        <v>-</v>
      </c>
      <c r="I67" s="3">
        <f ca="1">OFFSET(家賃シミュレーションシート!$Q$16,I63,0)*0.75-75000</f>
        <v>-75000</v>
      </c>
      <c r="J67" s="25" t="str">
        <f ca="1">IF(AND(OFFSET(家賃シミュレーションシート!$Q$16,J$63,0)&gt;=$B67,OFFSET(家賃シミュレーションシート!$Q$16,J$63,0)&lt;=$C67,OFFSET(家賃シミュレーションシート!$O$16,J$63,0)+OFFSET(家賃シミュレーションシート!$S$16,J$63,0)&gt;20000000,OFFSET(家賃シミュレーションシート!$E$16,J$63,0)&gt;=65),"●","-")</f>
        <v>-</v>
      </c>
      <c r="K67" s="3">
        <f ca="1">OFFSET(家賃シミュレーションシート!$Q$16,K63,0)*0.75-75000</f>
        <v>-75000</v>
      </c>
      <c r="L67" s="25" t="str">
        <f ca="1">IF(AND(OFFSET(家賃シミュレーションシート!$Q$16,L$63,0)&gt;=$B67,OFFSET(家賃シミュレーションシート!$Q$16,L$63,0)&lt;=$C67,OFFSET(家賃シミュレーションシート!$O$16,L$63,0)+OFFSET(家賃シミュレーションシート!$S$16,L$63,0)&gt;20000000,OFFSET(家賃シミュレーションシート!$E$16,L$63,0)&gt;=65),"●","-")</f>
        <v>-</v>
      </c>
      <c r="M67" s="3">
        <f ca="1">OFFSET(家賃シミュレーションシート!$Q$16,M63,0)*0.75-75000</f>
        <v>-75000</v>
      </c>
      <c r="N67" s="25" t="str">
        <f ca="1">IF(AND(OFFSET(家賃シミュレーションシート!$Q$16,N$63,0)&gt;=$B67,OFFSET(家賃シミュレーションシート!$Q$16,N$63,0)&lt;=$C67,OFFSET(家賃シミュレーションシート!$O$16,N$63,0)+OFFSET(家賃シミュレーションシート!$S$16,N$63,0)&gt;20000000,OFFSET(家賃シミュレーションシート!$E$16,N$63,0)&gt;=65),"●","-")</f>
        <v>-</v>
      </c>
      <c r="O67" s="3">
        <f ca="1">OFFSET(家賃シミュレーションシート!$Q$16,O63,0)*0.75-75000</f>
        <v>-75000</v>
      </c>
      <c r="P67" s="25" t="str">
        <f ca="1">IF(AND(OFFSET(家賃シミュレーションシート!$Q$16,P$63,0)&gt;=$B67,OFFSET(家賃シミュレーションシート!$Q$16,P$63,0)&lt;=$C67,OFFSET(家賃シミュレーションシート!$O$16,P$63,0)+OFFSET(家賃シミュレーションシート!$S$16,P$63,0)&gt;20000000,OFFSET(家賃シミュレーションシート!$E$16,P$63,0)&gt;=65),"●","-")</f>
        <v>-</v>
      </c>
    </row>
    <row r="68" spans="1:16" ht="18" customHeight="1">
      <c r="A68" s="16"/>
      <c r="B68" s="3">
        <v>4100001</v>
      </c>
      <c r="C68" s="3">
        <v>7700000</v>
      </c>
      <c r="D68" s="8" t="s">
        <v>34</v>
      </c>
      <c r="E68" s="3">
        <f ca="1">OFFSET(家賃シミュレーションシート!$Q$16,E63,0)*0.85-485000</f>
        <v>-485000</v>
      </c>
      <c r="F68" s="25" t="str">
        <f ca="1">IF(AND(OFFSET(家賃シミュレーションシート!$Q$16,F$63,0)&gt;=$B68,OFFSET(家賃シミュレーションシート!$Q$16,F$63,0)&lt;=$C68,OFFSET(家賃シミュレーションシート!$O$16,F$63,0)+OFFSET(家賃シミュレーションシート!$S$16,F$63,0)&gt;20000000,OFFSET(家賃シミュレーションシート!$E$16,F$63,0)&gt;=65),"●","-")</f>
        <v>-</v>
      </c>
      <c r="G68" s="3">
        <f ca="1">OFFSET(家賃シミュレーションシート!$Q$16,G63,0)*0.85-485000</f>
        <v>-485000</v>
      </c>
      <c r="H68" s="25" t="str">
        <f ca="1">IF(AND(OFFSET(家賃シミュレーションシート!$Q$16,H$63,0)&gt;=$B68,OFFSET(家賃シミュレーションシート!$Q$16,H$63,0)&lt;=$C68,OFFSET(家賃シミュレーションシート!$O$16,H$63,0)+OFFSET(家賃シミュレーションシート!$S$16,H$63,0)&gt;20000000,OFFSET(家賃シミュレーションシート!$E$16,H$63,0)&gt;=65),"●","-")</f>
        <v>-</v>
      </c>
      <c r="I68" s="3">
        <f ca="1">OFFSET(家賃シミュレーションシート!$Q$16,I63,0)*0.85-485000</f>
        <v>-485000</v>
      </c>
      <c r="J68" s="25" t="str">
        <f ca="1">IF(AND(OFFSET(家賃シミュレーションシート!$Q$16,J$63,0)&gt;=$B68,OFFSET(家賃シミュレーションシート!$Q$16,J$63,0)&lt;=$C68,OFFSET(家賃シミュレーションシート!$O$16,J$63,0)+OFFSET(家賃シミュレーションシート!$S$16,J$63,0)&gt;20000000,OFFSET(家賃シミュレーションシート!$E$16,J$63,0)&gt;=65),"●","-")</f>
        <v>-</v>
      </c>
      <c r="K68" s="3">
        <f ca="1">OFFSET(家賃シミュレーションシート!$Q$16,K63,0)*0.85-485000</f>
        <v>-485000</v>
      </c>
      <c r="L68" s="25" t="str">
        <f ca="1">IF(AND(OFFSET(家賃シミュレーションシート!$Q$16,L$63,0)&gt;=$B68,OFFSET(家賃シミュレーションシート!$Q$16,L$63,0)&lt;=$C68,OFFSET(家賃シミュレーションシート!$O$16,L$63,0)+OFFSET(家賃シミュレーションシート!$S$16,L$63,0)&gt;20000000,OFFSET(家賃シミュレーションシート!$E$16,L$63,0)&gt;=65),"●","-")</f>
        <v>-</v>
      </c>
      <c r="M68" s="3">
        <f ca="1">OFFSET(家賃シミュレーションシート!$Q$16,M63,0)*0.85-485000</f>
        <v>-485000</v>
      </c>
      <c r="N68" s="25" t="str">
        <f ca="1">IF(AND(OFFSET(家賃シミュレーションシート!$Q$16,N$63,0)&gt;=$B68,OFFSET(家賃シミュレーションシート!$Q$16,N$63,0)&lt;=$C68,OFFSET(家賃シミュレーションシート!$O$16,N$63,0)+OFFSET(家賃シミュレーションシート!$S$16,N$63,0)&gt;20000000,OFFSET(家賃シミュレーションシート!$E$16,N$63,0)&gt;=65),"●","-")</f>
        <v>-</v>
      </c>
      <c r="O68" s="3">
        <f ca="1">OFFSET(家賃シミュレーションシート!$Q$16,O63,0)*0.85-485000</f>
        <v>-485000</v>
      </c>
      <c r="P68" s="25" t="str">
        <f ca="1">IF(AND(OFFSET(家賃シミュレーションシート!$Q$16,P$63,0)&gt;=$B68,OFFSET(家賃シミュレーションシート!$Q$16,P$63,0)&lt;=$C68,OFFSET(家賃シミュレーションシート!$O$16,P$63,0)+OFFSET(家賃シミュレーションシート!$S$16,P$63,0)&gt;20000000,OFFSET(家賃シミュレーションシート!$E$16,P$63,0)&gt;=65),"●","-")</f>
        <v>-</v>
      </c>
    </row>
    <row r="69" spans="1:16" ht="18" customHeight="1">
      <c r="A69" s="16"/>
      <c r="B69" s="3">
        <v>7700001</v>
      </c>
      <c r="C69" s="3">
        <v>10000000</v>
      </c>
      <c r="D69" s="8" t="s">
        <v>35</v>
      </c>
      <c r="E69" s="3">
        <f ca="1">OFFSET(家賃シミュレーションシート!$Q$16,E63,0)*0.95-1255000</f>
        <v>-1255000</v>
      </c>
      <c r="F69" s="25" t="str">
        <f ca="1">IF(AND(OFFSET(家賃シミュレーションシート!$Q$16,F$63,0)&gt;=$B69,OFFSET(家賃シミュレーションシート!$Q$16,F$63,0)&lt;=$C69,OFFSET(家賃シミュレーションシート!$O$16,F$63,0)+OFFSET(家賃シミュレーションシート!$S$16,F$63,0)&gt;20000000,OFFSET(家賃シミュレーションシート!$E$16,F$63,0)&gt;=65),"●","-")</f>
        <v>-</v>
      </c>
      <c r="G69" s="3">
        <f ca="1">OFFSET(家賃シミュレーションシート!$Q$16,G63,0)*0.95-1255000</f>
        <v>-1255000</v>
      </c>
      <c r="H69" s="25" t="str">
        <f ca="1">IF(AND(OFFSET(家賃シミュレーションシート!$Q$16,H$63,0)&gt;=$B69,OFFSET(家賃シミュレーションシート!$Q$16,H$63,0)&lt;=$C69,OFFSET(家賃シミュレーションシート!$O$16,H$63,0)+OFFSET(家賃シミュレーションシート!$S$16,H$63,0)&gt;20000000,OFFSET(家賃シミュレーションシート!$E$16,H$63,0)&gt;=65),"●","-")</f>
        <v>-</v>
      </c>
      <c r="I69" s="3">
        <f ca="1">OFFSET(家賃シミュレーションシート!$Q$16,I63,0)*0.95-1255000</f>
        <v>-1255000</v>
      </c>
      <c r="J69" s="25" t="str">
        <f ca="1">IF(AND(OFFSET(家賃シミュレーションシート!$Q$16,J$63,0)&gt;=$B69,OFFSET(家賃シミュレーションシート!$Q$16,J$63,0)&lt;=$C69,OFFSET(家賃シミュレーションシート!$O$16,J$63,0)+OFFSET(家賃シミュレーションシート!$S$16,J$63,0)&gt;20000000,OFFSET(家賃シミュレーションシート!$E$16,J$63,0)&gt;=65),"●","-")</f>
        <v>-</v>
      </c>
      <c r="K69" s="3">
        <f ca="1">OFFSET(家賃シミュレーションシート!$Q$16,K63,0)*0.95-1255000</f>
        <v>-1255000</v>
      </c>
      <c r="L69" s="25" t="str">
        <f ca="1">IF(AND(OFFSET(家賃シミュレーションシート!$Q$16,L$63,0)&gt;=$B69,OFFSET(家賃シミュレーションシート!$Q$16,L$63,0)&lt;=$C69,OFFSET(家賃シミュレーションシート!$O$16,L$63,0)+OFFSET(家賃シミュレーションシート!$S$16,L$63,0)&gt;20000000,OFFSET(家賃シミュレーションシート!$E$16,L$63,0)&gt;=65),"●","-")</f>
        <v>-</v>
      </c>
      <c r="M69" s="3">
        <f ca="1">OFFSET(家賃シミュレーションシート!$Q$16,M63,0)*0.95-1255000</f>
        <v>-1255000</v>
      </c>
      <c r="N69" s="25" t="str">
        <f ca="1">IF(AND(OFFSET(家賃シミュレーションシート!$Q$16,N$63,0)&gt;=$B69,OFFSET(家賃シミュレーションシート!$Q$16,N$63,0)&lt;=$C69,OFFSET(家賃シミュレーションシート!$O$16,N$63,0)+OFFSET(家賃シミュレーションシート!$S$16,N$63,0)&gt;20000000,OFFSET(家賃シミュレーションシート!$E$16,N$63,0)&gt;=65),"●","-")</f>
        <v>-</v>
      </c>
      <c r="O69" s="3">
        <f ca="1">OFFSET(家賃シミュレーションシート!$Q$16,O63,0)*0.95-1255000</f>
        <v>-1255000</v>
      </c>
      <c r="P69" s="25" t="str">
        <f ca="1">IF(AND(OFFSET(家賃シミュレーションシート!$Q$16,P$63,0)&gt;=$B69,OFFSET(家賃シミュレーションシート!$Q$16,P$63,0)&lt;=$C69,OFFSET(家賃シミュレーションシート!$O$16,P$63,0)+OFFSET(家賃シミュレーションシート!$S$16,P$63,0)&gt;20000000,OFFSET(家賃シミュレーションシート!$E$16,P$63,0)&gt;=65),"●","-")</f>
        <v>-</v>
      </c>
    </row>
    <row r="70" spans="1:16" ht="18" customHeight="1">
      <c r="A70" s="16"/>
      <c r="B70" s="3">
        <v>10000001</v>
      </c>
      <c r="C70" s="3"/>
      <c r="D70" s="8" t="s">
        <v>36</v>
      </c>
      <c r="E70" s="3">
        <f ca="1">OFFSET(家賃シミュレーションシート!$Q$16,E63,0)-1755000</f>
        <v>-1755000</v>
      </c>
      <c r="F70" s="25" t="str">
        <f ca="1">IF(AND(OFFSET(家賃シミュレーションシート!$Q$16,F$63,0)&gt;=$B70,OFFSET(家賃シミュレーションシート!$O$16,F$63,0)+OFFSET(家賃シミュレーションシート!$S$16,F$63,0)&gt;20000000,OFFSET(家賃シミュレーションシート!$E$16,F$63,0)&gt;=65),"●","-")</f>
        <v>-</v>
      </c>
      <c r="G70" s="3">
        <f ca="1">OFFSET(家賃シミュレーションシート!$Q$16,G63,0)-1755000</f>
        <v>-1755000</v>
      </c>
      <c r="H70" s="25" t="str">
        <f ca="1">IF(AND(OFFSET(家賃シミュレーションシート!$Q$16,H$63,0)&gt;=$B70,OFFSET(家賃シミュレーションシート!$O$16,H$63,0)+OFFSET(家賃シミュレーションシート!$S$16,H$63,0)&gt;20000000,OFFSET(家賃シミュレーションシート!$E$16,H$63,0)&gt;=65),"●","-")</f>
        <v>-</v>
      </c>
      <c r="I70" s="3">
        <f ca="1">OFFSET(家賃シミュレーションシート!$Q$16,I63,0)-1755000</f>
        <v>-1755000</v>
      </c>
      <c r="J70" s="25" t="str">
        <f ca="1">IF(AND(OFFSET(家賃シミュレーションシート!$Q$16,J$63,0)&gt;=$B70,OFFSET(家賃シミュレーションシート!$O$16,J$63,0)+OFFSET(家賃シミュレーションシート!$S$16,J$63,0)&gt;20000000,OFFSET(家賃シミュレーションシート!$E$16,J$63,0)&gt;=65),"●","-")</f>
        <v>-</v>
      </c>
      <c r="K70" s="3">
        <f ca="1">OFFSET(家賃シミュレーションシート!$Q$16,K63,0)-1755000</f>
        <v>-1755000</v>
      </c>
      <c r="L70" s="25" t="str">
        <f ca="1">IF(AND(OFFSET(家賃シミュレーションシート!$Q$16,L$63,0)&gt;=$B70,OFFSET(家賃シミュレーションシート!$O$16,L$63,0)+OFFSET(家賃シミュレーションシート!$S$16,L$63,0)&gt;20000000,OFFSET(家賃シミュレーションシート!$E$16,L$63,0)&gt;=65),"●","-")</f>
        <v>-</v>
      </c>
      <c r="M70" s="3">
        <f ca="1">OFFSET(家賃シミュレーションシート!$Q$16,M63,0)-1755000</f>
        <v>-1755000</v>
      </c>
      <c r="N70" s="25" t="str">
        <f ca="1">IF(AND(OFFSET(家賃シミュレーションシート!$Q$16,N$63,0)&gt;=$B70,OFFSET(家賃シミュレーションシート!$O$16,N$63,0)+OFFSET(家賃シミュレーションシート!$S$16,N$63,0)&gt;20000000,OFFSET(家賃シミュレーションシート!$E$16,N$63,0)&gt;=65),"●","-")</f>
        <v>-</v>
      </c>
      <c r="O70" s="3">
        <f ca="1">OFFSET(家賃シミュレーションシート!$Q$16,O63,0)-1755000</f>
        <v>-1755000</v>
      </c>
      <c r="P70" s="25" t="str">
        <f ca="1">IF(AND(OFFSET(家賃シミュレーションシート!$Q$16,P$63,0)&gt;=$B70,OFFSET(家賃シミュレーションシート!$O$16,P$63,0)+OFFSET(家賃シミュレーションシート!$S$16,P$63,0)&gt;20000000,OFFSET(家賃シミュレーションシート!$E$16,P$63,0)&gt;=65),"●","-")</f>
        <v>-</v>
      </c>
    </row>
  </sheetData>
  <phoneticPr fontId="3"/>
  <pageMargins left="0.7" right="0.7" top="0.75" bottom="0.75" header="0.3" footer="0.3"/>
  <ignoredErrors>
    <ignoredError sqref="F5:N10 O5:O10 F17:P30"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672F7-F28A-417C-ABD1-8A7B109BD738}">
  <dimension ref="B2:AZ22"/>
  <sheetViews>
    <sheetView workbookViewId="0">
      <selection activeCell="D66" sqref="D66:G66"/>
    </sheetView>
  </sheetViews>
  <sheetFormatPr defaultColWidth="8.58203125" defaultRowHeight="17.5"/>
  <cols>
    <col min="1" max="1" width="8.58203125" style="91"/>
    <col min="2" max="2" width="20.58203125" style="91" customWidth="1"/>
    <col min="3" max="3" width="8.58203125" style="91" customWidth="1"/>
    <col min="4" max="16384" width="8.58203125" style="91"/>
  </cols>
  <sheetData>
    <row r="2" spans="2:52">
      <c r="B2" s="91" t="s">
        <v>118</v>
      </c>
    </row>
    <row r="3" spans="2:52">
      <c r="B3" s="91" t="s">
        <v>119</v>
      </c>
    </row>
    <row r="5" spans="2:52">
      <c r="B5" s="93" t="s">
        <v>120</v>
      </c>
      <c r="C5" s="92">
        <v>0.7</v>
      </c>
    </row>
    <row r="6" spans="2:52">
      <c r="B6" s="93" t="s">
        <v>121</v>
      </c>
      <c r="C6" s="98">
        <f>ROUNDDOWN($F$6/65,4)</f>
        <v>0</v>
      </c>
      <c r="D6" s="94" t="s">
        <v>125</v>
      </c>
      <c r="E6" s="93" t="s">
        <v>124</v>
      </c>
      <c r="F6" s="92">
        <f>IF(家賃シミュレーションシート!$D$66="1LDK",47,IF(家賃シミュレーションシート!$D$66="2LDK",60,IF(家賃シミュレーションシート!$D$66="3LDK",70,0)))</f>
        <v>0</v>
      </c>
      <c r="G6" s="91" t="s">
        <v>122</v>
      </c>
    </row>
    <row r="7" spans="2:52">
      <c r="B7" s="93" t="s">
        <v>143</v>
      </c>
      <c r="C7" s="92">
        <v>3.8999999999999998E-3</v>
      </c>
      <c r="D7" s="94" t="s">
        <v>125</v>
      </c>
      <c r="E7" s="91" t="s">
        <v>145</v>
      </c>
      <c r="F7" s="91" t="s">
        <v>144</v>
      </c>
    </row>
    <row r="8" spans="2:52">
      <c r="B8" s="93" t="s">
        <v>123</v>
      </c>
      <c r="C8" s="92">
        <v>0.8</v>
      </c>
    </row>
    <row r="10" spans="2:52">
      <c r="B10" s="93" t="s">
        <v>141</v>
      </c>
      <c r="C10" s="92">
        <f ca="1">家賃シミュレーションシート!$AA$64</f>
        <v>34400</v>
      </c>
    </row>
    <row r="12" spans="2:52">
      <c r="B12" s="93" t="s">
        <v>126</v>
      </c>
      <c r="C12" s="92">
        <v>1</v>
      </c>
      <c r="D12" s="92">
        <v>2</v>
      </c>
      <c r="E12" s="92">
        <v>3</v>
      </c>
      <c r="F12" s="92">
        <v>4</v>
      </c>
      <c r="G12" s="92">
        <v>5</v>
      </c>
      <c r="H12" s="92">
        <v>6</v>
      </c>
      <c r="I12" s="92">
        <v>7</v>
      </c>
      <c r="J12" s="92">
        <v>8</v>
      </c>
      <c r="K12" s="92">
        <v>9</v>
      </c>
      <c r="L12" s="92">
        <v>10</v>
      </c>
      <c r="M12" s="92">
        <v>11</v>
      </c>
      <c r="N12" s="92">
        <v>12</v>
      </c>
      <c r="O12" s="92">
        <v>13</v>
      </c>
      <c r="P12" s="92">
        <v>14</v>
      </c>
      <c r="Q12" s="92">
        <v>15</v>
      </c>
      <c r="R12" s="92">
        <v>16</v>
      </c>
      <c r="S12" s="92">
        <v>17</v>
      </c>
      <c r="T12" s="92">
        <v>18</v>
      </c>
      <c r="U12" s="92">
        <v>19</v>
      </c>
      <c r="V12" s="92">
        <v>20</v>
      </c>
      <c r="W12" s="92">
        <v>21</v>
      </c>
      <c r="X12" s="92">
        <v>22</v>
      </c>
      <c r="Y12" s="92">
        <v>23</v>
      </c>
      <c r="Z12" s="92">
        <v>24</v>
      </c>
      <c r="AA12" s="92">
        <v>25</v>
      </c>
      <c r="AB12" s="92">
        <v>26</v>
      </c>
      <c r="AC12" s="92">
        <v>27</v>
      </c>
      <c r="AD12" s="92">
        <v>28</v>
      </c>
      <c r="AE12" s="92">
        <v>29</v>
      </c>
      <c r="AF12" s="92">
        <v>30</v>
      </c>
      <c r="AG12" s="92">
        <v>31</v>
      </c>
      <c r="AH12" s="92">
        <v>32</v>
      </c>
      <c r="AI12" s="92">
        <v>33</v>
      </c>
      <c r="AJ12" s="92">
        <v>34</v>
      </c>
      <c r="AK12" s="92">
        <v>35</v>
      </c>
      <c r="AL12" s="92">
        <v>36</v>
      </c>
      <c r="AM12" s="92">
        <v>37</v>
      </c>
      <c r="AN12" s="92">
        <v>38</v>
      </c>
      <c r="AO12" s="92">
        <v>39</v>
      </c>
      <c r="AP12" s="92">
        <v>40</v>
      </c>
      <c r="AQ12" s="92">
        <v>41</v>
      </c>
      <c r="AR12" s="92">
        <v>42</v>
      </c>
      <c r="AS12" s="92">
        <v>43</v>
      </c>
      <c r="AT12" s="92">
        <v>44</v>
      </c>
      <c r="AU12" s="92">
        <v>45</v>
      </c>
      <c r="AV12" s="92">
        <v>46</v>
      </c>
      <c r="AW12" s="92">
        <v>47</v>
      </c>
      <c r="AX12" s="92">
        <v>48</v>
      </c>
      <c r="AY12" s="92">
        <v>49</v>
      </c>
      <c r="AZ12" s="92">
        <v>50</v>
      </c>
    </row>
    <row r="13" spans="2:52">
      <c r="B13" s="93" t="s">
        <v>142</v>
      </c>
      <c r="C13" s="92">
        <f ca="1">ROUNDDOWN($C$10*$C$5*$C$6*ROUNDDOWN(1-$C$7*C$12,4)*$C$8,-2)</f>
        <v>0</v>
      </c>
      <c r="D13" s="92">
        <f t="shared" ref="D13:AZ13" ca="1" si="0">ROUNDDOWN($C$10*$C$5*$C$6*ROUNDDOWN(1-$C$7*D$12,4)*$C$8,-2)</f>
        <v>0</v>
      </c>
      <c r="E13" s="92">
        <f t="shared" ca="1" si="0"/>
        <v>0</v>
      </c>
      <c r="F13" s="92">
        <f t="shared" ca="1" si="0"/>
        <v>0</v>
      </c>
      <c r="G13" s="92">
        <f t="shared" ca="1" si="0"/>
        <v>0</v>
      </c>
      <c r="H13" s="92">
        <f t="shared" ca="1" si="0"/>
        <v>0</v>
      </c>
      <c r="I13" s="92">
        <f t="shared" ca="1" si="0"/>
        <v>0</v>
      </c>
      <c r="J13" s="92">
        <f t="shared" ca="1" si="0"/>
        <v>0</v>
      </c>
      <c r="K13" s="92">
        <f t="shared" ca="1" si="0"/>
        <v>0</v>
      </c>
      <c r="L13" s="92">
        <f t="shared" ca="1" si="0"/>
        <v>0</v>
      </c>
      <c r="M13" s="92">
        <f t="shared" ca="1" si="0"/>
        <v>0</v>
      </c>
      <c r="N13" s="92">
        <f t="shared" ca="1" si="0"/>
        <v>0</v>
      </c>
      <c r="O13" s="92">
        <f t="shared" ca="1" si="0"/>
        <v>0</v>
      </c>
      <c r="P13" s="92">
        <f t="shared" ca="1" si="0"/>
        <v>0</v>
      </c>
      <c r="Q13" s="92">
        <f t="shared" ca="1" si="0"/>
        <v>0</v>
      </c>
      <c r="R13" s="92">
        <f t="shared" ca="1" si="0"/>
        <v>0</v>
      </c>
      <c r="S13" s="92">
        <f t="shared" ca="1" si="0"/>
        <v>0</v>
      </c>
      <c r="T13" s="92">
        <f t="shared" ca="1" si="0"/>
        <v>0</v>
      </c>
      <c r="U13" s="92">
        <f t="shared" ca="1" si="0"/>
        <v>0</v>
      </c>
      <c r="V13" s="92">
        <f t="shared" ca="1" si="0"/>
        <v>0</v>
      </c>
      <c r="W13" s="92">
        <f t="shared" ca="1" si="0"/>
        <v>0</v>
      </c>
      <c r="X13" s="92">
        <f t="shared" ca="1" si="0"/>
        <v>0</v>
      </c>
      <c r="Y13" s="92">
        <f t="shared" ca="1" si="0"/>
        <v>0</v>
      </c>
      <c r="Z13" s="92">
        <f t="shared" ca="1" si="0"/>
        <v>0</v>
      </c>
      <c r="AA13" s="92">
        <f t="shared" ca="1" si="0"/>
        <v>0</v>
      </c>
      <c r="AB13" s="92">
        <f t="shared" ca="1" si="0"/>
        <v>0</v>
      </c>
      <c r="AC13" s="92">
        <f t="shared" ca="1" si="0"/>
        <v>0</v>
      </c>
      <c r="AD13" s="92">
        <f t="shared" ca="1" si="0"/>
        <v>0</v>
      </c>
      <c r="AE13" s="92">
        <f t="shared" ca="1" si="0"/>
        <v>0</v>
      </c>
      <c r="AF13" s="92">
        <f t="shared" ca="1" si="0"/>
        <v>0</v>
      </c>
      <c r="AG13" s="92">
        <f t="shared" ca="1" si="0"/>
        <v>0</v>
      </c>
      <c r="AH13" s="92">
        <f t="shared" ca="1" si="0"/>
        <v>0</v>
      </c>
      <c r="AI13" s="92">
        <f t="shared" ca="1" si="0"/>
        <v>0</v>
      </c>
      <c r="AJ13" s="92">
        <f t="shared" ca="1" si="0"/>
        <v>0</v>
      </c>
      <c r="AK13" s="92">
        <f t="shared" ca="1" si="0"/>
        <v>0</v>
      </c>
      <c r="AL13" s="92">
        <f t="shared" ca="1" si="0"/>
        <v>0</v>
      </c>
      <c r="AM13" s="92">
        <f t="shared" ca="1" si="0"/>
        <v>0</v>
      </c>
      <c r="AN13" s="92">
        <f t="shared" ca="1" si="0"/>
        <v>0</v>
      </c>
      <c r="AO13" s="92">
        <f t="shared" ca="1" si="0"/>
        <v>0</v>
      </c>
      <c r="AP13" s="92">
        <f t="shared" ca="1" si="0"/>
        <v>0</v>
      </c>
      <c r="AQ13" s="92">
        <f t="shared" ca="1" si="0"/>
        <v>0</v>
      </c>
      <c r="AR13" s="92">
        <f t="shared" ca="1" si="0"/>
        <v>0</v>
      </c>
      <c r="AS13" s="92">
        <f t="shared" ca="1" si="0"/>
        <v>0</v>
      </c>
      <c r="AT13" s="92">
        <f t="shared" ca="1" si="0"/>
        <v>0</v>
      </c>
      <c r="AU13" s="92">
        <f t="shared" ca="1" si="0"/>
        <v>0</v>
      </c>
      <c r="AV13" s="92">
        <f t="shared" ca="1" si="0"/>
        <v>0</v>
      </c>
      <c r="AW13" s="92">
        <f t="shared" ca="1" si="0"/>
        <v>0</v>
      </c>
      <c r="AX13" s="92">
        <f t="shared" ca="1" si="0"/>
        <v>0</v>
      </c>
      <c r="AY13" s="92">
        <f t="shared" ca="1" si="0"/>
        <v>0</v>
      </c>
      <c r="AZ13" s="92">
        <f t="shared" ca="1" si="0"/>
        <v>0</v>
      </c>
    </row>
    <row r="22" spans="3:8">
      <c r="C22" s="97"/>
      <c r="D22" s="97"/>
      <c r="E22" s="97"/>
      <c r="F22" s="97"/>
      <c r="G22" s="97"/>
      <c r="H22" s="97"/>
    </row>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168D8-69C3-46E8-B1FE-C06FCEFD1F7F}">
  <dimension ref="B2:H52"/>
  <sheetViews>
    <sheetView workbookViewId="0">
      <selection activeCell="D66" sqref="D66:G66"/>
    </sheetView>
  </sheetViews>
  <sheetFormatPr defaultColWidth="9" defaultRowHeight="12"/>
  <cols>
    <col min="1" max="1" width="3.5" style="117" customWidth="1"/>
    <col min="2" max="2" width="20.33203125" style="117" bestFit="1" customWidth="1"/>
    <col min="3" max="3" width="6.25" style="117" customWidth="1"/>
    <col min="4" max="4" width="7.25" style="117" bestFit="1" customWidth="1"/>
    <col min="5" max="5" width="10.5" style="117" bestFit="1" customWidth="1"/>
    <col min="6" max="6" width="56" style="117" bestFit="1" customWidth="1"/>
    <col min="7" max="16384" width="9" style="117"/>
  </cols>
  <sheetData>
    <row r="2" spans="2:6" ht="12.5" thickBot="1">
      <c r="B2" s="115" t="s">
        <v>348</v>
      </c>
      <c r="C2" s="116"/>
    </row>
    <row r="3" spans="2:6" ht="18" customHeight="1">
      <c r="B3" s="118" t="s">
        <v>349</v>
      </c>
      <c r="C3" s="119"/>
      <c r="D3" s="120">
        <v>10</v>
      </c>
      <c r="E3" s="121" t="s">
        <v>350</v>
      </c>
      <c r="F3" s="122" t="s">
        <v>351</v>
      </c>
    </row>
    <row r="4" spans="2:6" ht="18" customHeight="1" thickBot="1">
      <c r="B4" s="123" t="s">
        <v>352</v>
      </c>
      <c r="C4" s="124"/>
      <c r="D4" s="125">
        <v>60</v>
      </c>
      <c r="E4" s="126" t="s">
        <v>353</v>
      </c>
      <c r="F4" s="127" t="s">
        <v>354</v>
      </c>
    </row>
    <row r="5" spans="2:6" ht="18" customHeight="1">
      <c r="B5" s="118" t="s">
        <v>355</v>
      </c>
      <c r="C5" s="119"/>
      <c r="D5" s="120">
        <v>2</v>
      </c>
      <c r="E5" s="121" t="s">
        <v>350</v>
      </c>
      <c r="F5" s="122" t="s">
        <v>356</v>
      </c>
    </row>
    <row r="6" spans="2:6" ht="18" customHeight="1" thickBot="1">
      <c r="B6" s="123" t="s">
        <v>357</v>
      </c>
      <c r="C6" s="124"/>
      <c r="D6" s="125">
        <v>70</v>
      </c>
      <c r="E6" s="126" t="s">
        <v>353</v>
      </c>
      <c r="F6" s="127" t="s">
        <v>358</v>
      </c>
    </row>
    <row r="7" spans="2:6" ht="18" customHeight="1">
      <c r="B7" s="128" t="s">
        <v>359</v>
      </c>
      <c r="C7" s="129"/>
      <c r="D7" s="130">
        <v>2760</v>
      </c>
      <c r="E7" s="131" t="s">
        <v>360</v>
      </c>
      <c r="F7" s="132" t="s">
        <v>356</v>
      </c>
    </row>
    <row r="8" spans="2:6" ht="18" customHeight="1">
      <c r="B8" s="133" t="s">
        <v>361</v>
      </c>
      <c r="C8" s="134"/>
      <c r="D8" s="135">
        <v>8</v>
      </c>
      <c r="E8" s="136" t="s">
        <v>362</v>
      </c>
      <c r="F8" s="137" t="s">
        <v>363</v>
      </c>
    </row>
    <row r="9" spans="2:6" ht="18" customHeight="1" thickBot="1">
      <c r="B9" s="138" t="s">
        <v>364</v>
      </c>
      <c r="C9" s="139"/>
      <c r="D9" s="140">
        <f>20210/74.7</f>
        <v>270.54886211512718</v>
      </c>
      <c r="E9" s="141" t="s">
        <v>362</v>
      </c>
      <c r="F9" s="142" t="s">
        <v>365</v>
      </c>
    </row>
    <row r="11" spans="2:6">
      <c r="B11" s="115" t="s">
        <v>366</v>
      </c>
      <c r="C11" s="116"/>
    </row>
    <row r="12" spans="2:6">
      <c r="B12" s="143" t="s">
        <v>367</v>
      </c>
      <c r="C12" s="134"/>
      <c r="D12" s="144">
        <v>0.95</v>
      </c>
      <c r="E12" s="145"/>
      <c r="F12" s="146" t="s">
        <v>368</v>
      </c>
    </row>
    <row r="13" spans="2:6">
      <c r="B13" s="143" t="s">
        <v>369</v>
      </c>
      <c r="C13" s="134"/>
      <c r="D13" s="147">
        <v>0.1</v>
      </c>
      <c r="E13" s="145"/>
      <c r="F13" s="146" t="s">
        <v>370</v>
      </c>
    </row>
    <row r="14" spans="2:6">
      <c r="B14" s="143" t="s">
        <v>371</v>
      </c>
      <c r="C14" s="134" t="s">
        <v>372</v>
      </c>
      <c r="D14" s="148">
        <v>3</v>
      </c>
      <c r="E14" s="145"/>
      <c r="F14" s="146" t="s">
        <v>373</v>
      </c>
    </row>
    <row r="15" spans="2:6">
      <c r="B15" s="143" t="s">
        <v>374</v>
      </c>
      <c r="C15" s="134" t="s">
        <v>375</v>
      </c>
      <c r="D15" s="149">
        <v>1</v>
      </c>
      <c r="E15" s="145"/>
      <c r="F15" s="146" t="s">
        <v>370</v>
      </c>
    </row>
    <row r="16" spans="2:6">
      <c r="B16" s="143" t="s">
        <v>376</v>
      </c>
      <c r="C16" s="134" t="s">
        <v>377</v>
      </c>
      <c r="D16" s="150">
        <v>0.9</v>
      </c>
      <c r="E16" s="145"/>
      <c r="F16" s="146" t="s">
        <v>449</v>
      </c>
    </row>
    <row r="17" spans="2:8">
      <c r="B17" s="143" t="s">
        <v>378</v>
      </c>
      <c r="C17" s="134" t="s">
        <v>379</v>
      </c>
      <c r="D17" s="150">
        <v>0.1</v>
      </c>
      <c r="E17" s="145"/>
      <c r="F17" s="146" t="s">
        <v>450</v>
      </c>
    </row>
    <row r="18" spans="2:8">
      <c r="B18" s="143" t="s">
        <v>380</v>
      </c>
      <c r="C18" s="134" t="s">
        <v>381</v>
      </c>
      <c r="D18" s="150">
        <v>2.1999999999999999E-2</v>
      </c>
      <c r="E18" s="145"/>
      <c r="F18" s="146" t="s">
        <v>451</v>
      </c>
    </row>
    <row r="19" spans="2:8">
      <c r="B19" s="143" t="s">
        <v>382</v>
      </c>
      <c r="C19" s="134" t="s">
        <v>383</v>
      </c>
      <c r="D19" s="150">
        <v>3.0999999999999999E-3</v>
      </c>
      <c r="E19" s="145"/>
      <c r="F19" s="146" t="s">
        <v>452</v>
      </c>
    </row>
    <row r="20" spans="2:8">
      <c r="B20" s="143" t="s">
        <v>384</v>
      </c>
      <c r="C20" s="134" t="s">
        <v>385</v>
      </c>
      <c r="D20" s="151">
        <v>2.9E-4</v>
      </c>
      <c r="E20" s="145"/>
      <c r="F20" s="146" t="s">
        <v>386</v>
      </c>
    </row>
    <row r="21" spans="2:8">
      <c r="B21" s="143" t="s">
        <v>387</v>
      </c>
      <c r="C21" s="134"/>
      <c r="D21" s="151">
        <v>186</v>
      </c>
      <c r="E21" s="145" t="s">
        <v>362</v>
      </c>
      <c r="F21" s="146" t="s">
        <v>386</v>
      </c>
    </row>
    <row r="22" spans="2:8">
      <c r="B22" s="143" t="s">
        <v>388</v>
      </c>
      <c r="C22" s="134" t="s">
        <v>389</v>
      </c>
      <c r="D22" s="152">
        <v>30</v>
      </c>
      <c r="E22" s="153" t="s">
        <v>390</v>
      </c>
      <c r="F22" s="146" t="s">
        <v>453</v>
      </c>
    </row>
    <row r="23" spans="2:8">
      <c r="B23" s="143" t="s">
        <v>391</v>
      </c>
      <c r="C23" s="134"/>
      <c r="D23" s="143">
        <f>($D$3*$D$4+$D$5*$D$6)/$D$12</f>
        <v>778.94736842105272</v>
      </c>
      <c r="E23" s="145" t="s">
        <v>360</v>
      </c>
      <c r="F23" s="154" t="s">
        <v>392</v>
      </c>
    </row>
    <row r="24" spans="2:8">
      <c r="B24" s="143" t="s">
        <v>393</v>
      </c>
      <c r="C24" s="134"/>
      <c r="D24" s="143">
        <f>$D$7*$D$8</f>
        <v>22080</v>
      </c>
      <c r="E24" s="145" t="s">
        <v>394</v>
      </c>
      <c r="F24" s="154" t="s">
        <v>395</v>
      </c>
    </row>
    <row r="25" spans="2:8" s="116" customFormat="1"/>
    <row r="26" spans="2:8">
      <c r="B26" s="115" t="s">
        <v>396</v>
      </c>
      <c r="C26" s="116"/>
    </row>
    <row r="27" spans="2:8">
      <c r="B27" s="143" t="s">
        <v>397</v>
      </c>
      <c r="C27" s="134" t="s">
        <v>398</v>
      </c>
      <c r="D27" s="155">
        <f>($D$4/$D$12)*$D$9*(1+$D$13)</f>
        <v>18796.026210103573</v>
      </c>
      <c r="E27" s="156" t="s">
        <v>399</v>
      </c>
      <c r="F27" s="154" t="s">
        <v>400</v>
      </c>
    </row>
    <row r="28" spans="2:8">
      <c r="B28" s="143" t="s">
        <v>401</v>
      </c>
      <c r="C28" s="134" t="s">
        <v>402</v>
      </c>
      <c r="D28" s="155">
        <f>$D$24*0.7*($D$4/$D$12)/$D$23</f>
        <v>1253.1891891891889</v>
      </c>
      <c r="E28" s="156" t="s">
        <v>403</v>
      </c>
      <c r="F28" s="154" t="s">
        <v>404</v>
      </c>
      <c r="H28" s="157"/>
    </row>
    <row r="29" spans="2:8">
      <c r="B29" s="143" t="s">
        <v>405</v>
      </c>
      <c r="C29" s="134" t="s">
        <v>406</v>
      </c>
      <c r="D29" s="158">
        <f>$D$21*$D$4/$D$12</f>
        <v>11747.368421052632</v>
      </c>
      <c r="E29" s="156" t="s">
        <v>403</v>
      </c>
      <c r="F29" s="154" t="s">
        <v>407</v>
      </c>
    </row>
    <row r="30" spans="2:8">
      <c r="B30" s="143" t="s">
        <v>408</v>
      </c>
      <c r="C30" s="134" t="s">
        <v>409</v>
      </c>
      <c r="D30" s="159">
        <f>$D27*$D$15-$D27*$D$15*$D$16/$D$22*$D$14</f>
        <v>17104.383851194252</v>
      </c>
      <c r="E30" s="156" t="s">
        <v>403</v>
      </c>
      <c r="F30" s="154" t="s">
        <v>410</v>
      </c>
    </row>
    <row r="31" spans="2:8">
      <c r="B31" s="143" t="s">
        <v>411</v>
      </c>
      <c r="C31" s="134" t="s">
        <v>412</v>
      </c>
      <c r="D31" s="159">
        <f>$D30*0.03+$D28*0.02</f>
        <v>538.19529931961142</v>
      </c>
      <c r="E31" s="156" t="s">
        <v>413</v>
      </c>
      <c r="F31" s="154" t="s">
        <v>414</v>
      </c>
    </row>
    <row r="32" spans="2:8">
      <c r="B32" s="143" t="s">
        <v>415</v>
      </c>
      <c r="C32" s="134" t="s">
        <v>416</v>
      </c>
      <c r="D32" s="159">
        <f>($D27-$D27*$D$17)/$D$22</f>
        <v>563.88078630310724</v>
      </c>
      <c r="E32" s="156" t="s">
        <v>413</v>
      </c>
      <c r="F32" s="154" t="s">
        <v>417</v>
      </c>
    </row>
    <row r="33" spans="2:7">
      <c r="B33" s="143" t="s">
        <v>418</v>
      </c>
      <c r="C33" s="134" t="s">
        <v>419</v>
      </c>
      <c r="D33" s="159">
        <f>$D27*$D$15*$D$18</f>
        <v>413.51257662227857</v>
      </c>
      <c r="E33" s="156" t="s">
        <v>413</v>
      </c>
      <c r="F33" s="154" t="s">
        <v>420</v>
      </c>
    </row>
    <row r="34" spans="2:7">
      <c r="B34" s="143" t="s">
        <v>421</v>
      </c>
      <c r="C34" s="134" t="s">
        <v>422</v>
      </c>
      <c r="D34" s="159">
        <f>$D27*$D$15*$D$19</f>
        <v>58.267681251321072</v>
      </c>
      <c r="E34" s="156" t="s">
        <v>413</v>
      </c>
      <c r="F34" s="154" t="s">
        <v>423</v>
      </c>
    </row>
    <row r="35" spans="2:7">
      <c r="B35" s="143" t="s">
        <v>424</v>
      </c>
      <c r="C35" s="134" t="s">
        <v>425</v>
      </c>
      <c r="D35" s="159">
        <f>$D29*$D$20</f>
        <v>3.4067368421052633</v>
      </c>
      <c r="E35" s="156" t="s">
        <v>413</v>
      </c>
      <c r="F35" s="154" t="s">
        <v>426</v>
      </c>
    </row>
    <row r="36" spans="2:7">
      <c r="B36" s="143" t="s">
        <v>427</v>
      </c>
      <c r="C36" s="134" t="s">
        <v>428</v>
      </c>
      <c r="D36" s="159">
        <f>$D30*0.6*1/2*(0.015)+$D28*(0.015*1/6)</f>
        <v>80.102700303347106</v>
      </c>
      <c r="E36" s="156" t="s">
        <v>413</v>
      </c>
      <c r="F36" s="154" t="s">
        <v>459</v>
      </c>
    </row>
    <row r="37" spans="2:7" ht="12.5" thickBot="1">
      <c r="B37" s="160" t="s">
        <v>429</v>
      </c>
      <c r="C37" s="161" t="s">
        <v>430</v>
      </c>
      <c r="D37" s="162">
        <f>(D31+D32+D33+D34+D35+D36)*2/100</f>
        <v>33.14731561283542</v>
      </c>
      <c r="E37" s="163" t="s">
        <v>413</v>
      </c>
      <c r="F37" s="164" t="s">
        <v>431</v>
      </c>
    </row>
    <row r="38" spans="2:7" ht="18" customHeight="1" thickBot="1">
      <c r="B38" s="165" t="s">
        <v>432</v>
      </c>
      <c r="C38" s="166"/>
      <c r="D38" s="167">
        <f>ROUNDDOWN((SUM(D31:D37)/12),0)</f>
        <v>140</v>
      </c>
      <c r="E38" s="168" t="s">
        <v>433</v>
      </c>
      <c r="F38" s="169" t="s">
        <v>434</v>
      </c>
      <c r="G38" s="170"/>
    </row>
    <row r="39" spans="2:7" s="116" customFormat="1">
      <c r="G39" s="171"/>
    </row>
    <row r="40" spans="2:7">
      <c r="B40" s="115" t="s">
        <v>435</v>
      </c>
      <c r="C40" s="116"/>
      <c r="G40" s="170"/>
    </row>
    <row r="41" spans="2:7">
      <c r="B41" s="143" t="s">
        <v>397</v>
      </c>
      <c r="C41" s="134" t="s">
        <v>398</v>
      </c>
      <c r="D41" s="155">
        <f>($D$6/$D$12)*$D$9*(1+$D$13)</f>
        <v>21928.697245120838</v>
      </c>
      <c r="E41" s="156" t="s">
        <v>399</v>
      </c>
      <c r="F41" s="154" t="s">
        <v>436</v>
      </c>
      <c r="G41" s="170"/>
    </row>
    <row r="42" spans="2:7">
      <c r="B42" s="143" t="s">
        <v>401</v>
      </c>
      <c r="C42" s="134" t="s">
        <v>402</v>
      </c>
      <c r="D42" s="155">
        <f>$D$24*0.7*($D$6/$D$12)/$D$23</f>
        <v>1462.0540540540539</v>
      </c>
      <c r="E42" s="156" t="s">
        <v>403</v>
      </c>
      <c r="F42" s="154" t="s">
        <v>437</v>
      </c>
      <c r="G42" s="170"/>
    </row>
    <row r="43" spans="2:7">
      <c r="B43" s="143" t="s">
        <v>405</v>
      </c>
      <c r="C43" s="134" t="s">
        <v>406</v>
      </c>
      <c r="D43" s="158">
        <f>$D$21*$D$6/$D$12</f>
        <v>13705.263157894737</v>
      </c>
      <c r="E43" s="156" t="s">
        <v>403</v>
      </c>
      <c r="F43" s="154" t="s">
        <v>407</v>
      </c>
      <c r="G43" s="170"/>
    </row>
    <row r="44" spans="2:7">
      <c r="B44" s="143" t="s">
        <v>408</v>
      </c>
      <c r="C44" s="134" t="s">
        <v>409</v>
      </c>
      <c r="D44" s="159">
        <f>$D41*$D$15-$D41*$D$15*$D$16/$D$22*$D$14</f>
        <v>19955.114493059962</v>
      </c>
      <c r="E44" s="156" t="s">
        <v>403</v>
      </c>
      <c r="F44" s="154" t="s">
        <v>410</v>
      </c>
      <c r="G44" s="170"/>
    </row>
    <row r="45" spans="2:7">
      <c r="B45" s="143" t="s">
        <v>411</v>
      </c>
      <c r="C45" s="134" t="s">
        <v>412</v>
      </c>
      <c r="D45" s="159">
        <f>$D44*0.03+$D42*0.02</f>
        <v>627.89451587287999</v>
      </c>
      <c r="E45" s="156" t="s">
        <v>413</v>
      </c>
      <c r="F45" s="154" t="s">
        <v>414</v>
      </c>
      <c r="G45" s="170"/>
    </row>
    <row r="46" spans="2:7">
      <c r="B46" s="143" t="s">
        <v>415</v>
      </c>
      <c r="C46" s="134" t="s">
        <v>416</v>
      </c>
      <c r="D46" s="159">
        <f>($D41-$D41*$D$17)/$D$22</f>
        <v>657.86091735362527</v>
      </c>
      <c r="E46" s="156" t="s">
        <v>413</v>
      </c>
      <c r="F46" s="154" t="s">
        <v>417</v>
      </c>
      <c r="G46" s="170"/>
    </row>
    <row r="47" spans="2:7">
      <c r="B47" s="143" t="s">
        <v>418</v>
      </c>
      <c r="C47" s="134" t="s">
        <v>419</v>
      </c>
      <c r="D47" s="159">
        <f>$D41*$D$15*$D$18</f>
        <v>482.4313393926584</v>
      </c>
      <c r="E47" s="156" t="s">
        <v>413</v>
      </c>
      <c r="F47" s="154" t="s">
        <v>420</v>
      </c>
      <c r="G47" s="170"/>
    </row>
    <row r="48" spans="2:7">
      <c r="B48" s="143" t="s">
        <v>421</v>
      </c>
      <c r="C48" s="134" t="s">
        <v>422</v>
      </c>
      <c r="D48" s="159">
        <f>$D41*$D$15*$D$19</f>
        <v>67.978961459874597</v>
      </c>
      <c r="E48" s="156" t="s">
        <v>413</v>
      </c>
      <c r="F48" s="154" t="s">
        <v>423</v>
      </c>
      <c r="G48" s="170"/>
    </row>
    <row r="49" spans="2:7">
      <c r="B49" s="143" t="s">
        <v>424</v>
      </c>
      <c r="C49" s="134" t="s">
        <v>425</v>
      </c>
      <c r="D49" s="159">
        <f>$D43*$D$20</f>
        <v>3.9745263157894737</v>
      </c>
      <c r="E49" s="156" t="s">
        <v>413</v>
      </c>
      <c r="F49" s="154" t="s">
        <v>426</v>
      </c>
      <c r="G49" s="170"/>
    </row>
    <row r="50" spans="2:7">
      <c r="B50" s="143" t="s">
        <v>427</v>
      </c>
      <c r="C50" s="134" t="s">
        <v>428</v>
      </c>
      <c r="D50" s="159">
        <f>$D44*0.6*1/2*(0.015)+$D42*(0.015*1/6)</f>
        <v>93.45315035390496</v>
      </c>
      <c r="E50" s="156" t="s">
        <v>413</v>
      </c>
      <c r="F50" s="154" t="s">
        <v>459</v>
      </c>
      <c r="G50" s="170"/>
    </row>
    <row r="51" spans="2:7" ht="12.5" thickBot="1">
      <c r="B51" s="160" t="s">
        <v>429</v>
      </c>
      <c r="C51" s="161" t="s">
        <v>430</v>
      </c>
      <c r="D51" s="162">
        <f>(D45+D46+D47+D48+D49+D50)*2/100</f>
        <v>38.671868214974658</v>
      </c>
      <c r="E51" s="163" t="s">
        <v>413</v>
      </c>
      <c r="F51" s="164" t="s">
        <v>431</v>
      </c>
      <c r="G51" s="170"/>
    </row>
    <row r="52" spans="2:7" ht="18" customHeight="1" thickBot="1">
      <c r="B52" s="165" t="s">
        <v>438</v>
      </c>
      <c r="C52" s="166"/>
      <c r="D52" s="167">
        <f>ROUNDDOWN((SUM(D45:D51)/12),0)</f>
        <v>164</v>
      </c>
      <c r="E52" s="168" t="s">
        <v>433</v>
      </c>
      <c r="F52" s="169" t="s">
        <v>434</v>
      </c>
      <c r="G52" s="170"/>
    </row>
  </sheetData>
  <phoneticPr fontId="3"/>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6F880-75F7-4ACE-83C4-D1E3EEFD8717}">
  <dimension ref="B2:H52"/>
  <sheetViews>
    <sheetView workbookViewId="0"/>
  </sheetViews>
  <sheetFormatPr defaultColWidth="9" defaultRowHeight="12"/>
  <cols>
    <col min="1" max="1" width="3.5" style="117" customWidth="1"/>
    <col min="2" max="2" width="20.33203125" style="117" bestFit="1" customWidth="1"/>
    <col min="3" max="3" width="6.25" style="117" customWidth="1"/>
    <col min="4" max="4" width="7.25" style="117" bestFit="1" customWidth="1"/>
    <col min="5" max="5" width="10.5" style="117" bestFit="1" customWidth="1"/>
    <col min="6" max="6" width="56" style="117" bestFit="1" customWidth="1"/>
    <col min="7" max="16384" width="9" style="117"/>
  </cols>
  <sheetData>
    <row r="2" spans="2:6" ht="12.5" thickBot="1">
      <c r="B2" s="115" t="s">
        <v>348</v>
      </c>
      <c r="C2" s="116"/>
    </row>
    <row r="3" spans="2:6" ht="18" customHeight="1">
      <c r="B3" s="118" t="s">
        <v>349</v>
      </c>
      <c r="C3" s="119"/>
      <c r="D3" s="120">
        <v>30</v>
      </c>
      <c r="E3" s="121" t="s">
        <v>350</v>
      </c>
      <c r="F3" s="122" t="s">
        <v>441</v>
      </c>
    </row>
    <row r="4" spans="2:6" ht="18" customHeight="1" thickBot="1">
      <c r="B4" s="123" t="s">
        <v>352</v>
      </c>
      <c r="C4" s="124"/>
      <c r="D4" s="125">
        <v>60</v>
      </c>
      <c r="E4" s="126" t="s">
        <v>353</v>
      </c>
      <c r="F4" s="127" t="s">
        <v>354</v>
      </c>
    </row>
    <row r="5" spans="2:6" ht="18" customHeight="1">
      <c r="B5" s="118" t="s">
        <v>355</v>
      </c>
      <c r="C5" s="119"/>
      <c r="D5" s="120">
        <v>6</v>
      </c>
      <c r="E5" s="121" t="s">
        <v>350</v>
      </c>
      <c r="F5" s="122" t="s">
        <v>440</v>
      </c>
    </row>
    <row r="6" spans="2:6" ht="18" customHeight="1" thickBot="1">
      <c r="B6" s="123" t="s">
        <v>357</v>
      </c>
      <c r="C6" s="124"/>
      <c r="D6" s="125">
        <v>70</v>
      </c>
      <c r="E6" s="126" t="s">
        <v>353</v>
      </c>
      <c r="F6" s="127" t="s">
        <v>358</v>
      </c>
    </row>
    <row r="7" spans="2:6" ht="18" customHeight="1">
      <c r="B7" s="128" t="s">
        <v>359</v>
      </c>
      <c r="C7" s="129"/>
      <c r="D7" s="130">
        <v>8000</v>
      </c>
      <c r="E7" s="131" t="s">
        <v>360</v>
      </c>
      <c r="F7" s="132" t="s">
        <v>439</v>
      </c>
    </row>
    <row r="8" spans="2:6" ht="18" customHeight="1">
      <c r="B8" s="133" t="s">
        <v>361</v>
      </c>
      <c r="C8" s="134"/>
      <c r="D8" s="135">
        <v>8.25</v>
      </c>
      <c r="E8" s="136" t="s">
        <v>362</v>
      </c>
      <c r="F8" s="137" t="s">
        <v>454</v>
      </c>
    </row>
    <row r="9" spans="2:6" ht="18" customHeight="1" thickBot="1">
      <c r="B9" s="138" t="s">
        <v>364</v>
      </c>
      <c r="C9" s="139"/>
      <c r="D9" s="140">
        <f>20210/74.7</f>
        <v>270.54886211512718</v>
      </c>
      <c r="E9" s="141" t="s">
        <v>362</v>
      </c>
      <c r="F9" s="142" t="s">
        <v>443</v>
      </c>
    </row>
    <row r="11" spans="2:6">
      <c r="B11" s="115" t="s">
        <v>366</v>
      </c>
      <c r="C11" s="116"/>
    </row>
    <row r="12" spans="2:6">
      <c r="B12" s="143" t="s">
        <v>367</v>
      </c>
      <c r="C12" s="134"/>
      <c r="D12" s="144">
        <v>0.95</v>
      </c>
      <c r="E12" s="145"/>
      <c r="F12" s="146" t="s">
        <v>368</v>
      </c>
    </row>
    <row r="13" spans="2:6">
      <c r="B13" s="143" t="s">
        <v>369</v>
      </c>
      <c r="C13" s="134"/>
      <c r="D13" s="147">
        <v>0.1</v>
      </c>
      <c r="E13" s="145"/>
      <c r="F13" s="146" t="s">
        <v>370</v>
      </c>
    </row>
    <row r="14" spans="2:6">
      <c r="B14" s="143" t="s">
        <v>371</v>
      </c>
      <c r="C14" s="134" t="s">
        <v>372</v>
      </c>
      <c r="D14" s="148">
        <v>3</v>
      </c>
      <c r="E14" s="145"/>
      <c r="F14" s="146" t="s">
        <v>373</v>
      </c>
    </row>
    <row r="15" spans="2:6">
      <c r="B15" s="143" t="s">
        <v>374</v>
      </c>
      <c r="C15" s="134" t="s">
        <v>375</v>
      </c>
      <c r="D15" s="149">
        <v>1</v>
      </c>
      <c r="E15" s="145"/>
      <c r="F15" s="146" t="s">
        <v>370</v>
      </c>
    </row>
    <row r="16" spans="2:6">
      <c r="B16" s="143" t="s">
        <v>376</v>
      </c>
      <c r="C16" s="134" t="s">
        <v>377</v>
      </c>
      <c r="D16" s="150">
        <v>0.8</v>
      </c>
      <c r="E16" s="145"/>
      <c r="F16" s="146" t="s">
        <v>444</v>
      </c>
    </row>
    <row r="17" spans="2:8">
      <c r="B17" s="143" t="s">
        <v>378</v>
      </c>
      <c r="C17" s="134" t="s">
        <v>379</v>
      </c>
      <c r="D17" s="150">
        <v>0.2</v>
      </c>
      <c r="E17" s="145"/>
      <c r="F17" s="146" t="s">
        <v>445</v>
      </c>
    </row>
    <row r="18" spans="2:8">
      <c r="B18" s="143" t="s">
        <v>380</v>
      </c>
      <c r="C18" s="134" t="s">
        <v>381</v>
      </c>
      <c r="D18" s="150">
        <v>1.4999999999999999E-2</v>
      </c>
      <c r="E18" s="145"/>
      <c r="F18" s="146" t="s">
        <v>446</v>
      </c>
    </row>
    <row r="19" spans="2:8">
      <c r="B19" s="143" t="s">
        <v>382</v>
      </c>
      <c r="C19" s="134" t="s">
        <v>383</v>
      </c>
      <c r="D19" s="150">
        <v>2E-3</v>
      </c>
      <c r="E19" s="145"/>
      <c r="F19" s="146" t="s">
        <v>447</v>
      </c>
    </row>
    <row r="20" spans="2:8">
      <c r="B20" s="143" t="s">
        <v>384</v>
      </c>
      <c r="C20" s="134" t="s">
        <v>385</v>
      </c>
      <c r="D20" s="151">
        <v>2.9E-4</v>
      </c>
      <c r="E20" s="145"/>
      <c r="F20" s="146" t="s">
        <v>386</v>
      </c>
    </row>
    <row r="21" spans="2:8">
      <c r="B21" s="143" t="s">
        <v>387</v>
      </c>
      <c r="C21" s="134"/>
      <c r="D21" s="151">
        <v>186</v>
      </c>
      <c r="E21" s="145" t="s">
        <v>362</v>
      </c>
      <c r="F21" s="146" t="s">
        <v>386</v>
      </c>
    </row>
    <row r="22" spans="2:8">
      <c r="B22" s="143" t="s">
        <v>388</v>
      </c>
      <c r="C22" s="134" t="s">
        <v>389</v>
      </c>
      <c r="D22" s="152">
        <v>45</v>
      </c>
      <c r="E22" s="153" t="s">
        <v>390</v>
      </c>
      <c r="F22" s="146" t="s">
        <v>448</v>
      </c>
    </row>
    <row r="23" spans="2:8">
      <c r="B23" s="143" t="s">
        <v>391</v>
      </c>
      <c r="C23" s="134"/>
      <c r="D23" s="143">
        <f>($D$3*$D$4+$D$5*$D$6)/$D$12</f>
        <v>2336.8421052631579</v>
      </c>
      <c r="E23" s="145" t="s">
        <v>360</v>
      </c>
      <c r="F23" s="154" t="s">
        <v>392</v>
      </c>
    </row>
    <row r="24" spans="2:8">
      <c r="B24" s="143" t="s">
        <v>393</v>
      </c>
      <c r="C24" s="134"/>
      <c r="D24" s="143">
        <f>$D$7*$D$8</f>
        <v>66000</v>
      </c>
      <c r="E24" s="145" t="s">
        <v>394</v>
      </c>
      <c r="F24" s="154" t="s">
        <v>395</v>
      </c>
    </row>
    <row r="25" spans="2:8" s="116" customFormat="1"/>
    <row r="26" spans="2:8">
      <c r="B26" s="115" t="s">
        <v>396</v>
      </c>
      <c r="C26" s="116"/>
    </row>
    <row r="27" spans="2:8">
      <c r="B27" s="143" t="s">
        <v>397</v>
      </c>
      <c r="C27" s="134" t="s">
        <v>398</v>
      </c>
      <c r="D27" s="155">
        <f>($D$4/$D$12)*$D$9*(1+$D$13)</f>
        <v>18796.026210103573</v>
      </c>
      <c r="E27" s="156" t="s">
        <v>399</v>
      </c>
      <c r="F27" s="154" t="s">
        <v>400</v>
      </c>
    </row>
    <row r="28" spans="2:8">
      <c r="B28" s="143" t="s">
        <v>401</v>
      </c>
      <c r="C28" s="134" t="s">
        <v>402</v>
      </c>
      <c r="D28" s="155">
        <f>$D$24*0.7*($D$4/$D$12)/$D$23</f>
        <v>1248.6486486486488</v>
      </c>
      <c r="E28" s="156" t="s">
        <v>403</v>
      </c>
      <c r="F28" s="154" t="s">
        <v>404</v>
      </c>
      <c r="H28" s="157"/>
    </row>
    <row r="29" spans="2:8">
      <c r="B29" s="143" t="s">
        <v>405</v>
      </c>
      <c r="C29" s="134" t="s">
        <v>406</v>
      </c>
      <c r="D29" s="158">
        <f>$D$21*$D$4/$D$12</f>
        <v>11747.368421052632</v>
      </c>
      <c r="E29" s="156" t="s">
        <v>403</v>
      </c>
      <c r="F29" s="154" t="s">
        <v>407</v>
      </c>
    </row>
    <row r="30" spans="2:8">
      <c r="B30" s="143" t="s">
        <v>408</v>
      </c>
      <c r="C30" s="134" t="s">
        <v>409</v>
      </c>
      <c r="D30" s="159">
        <f>$D27*$D$15-$D27*$D$15*$D$16/$D$22*$D$14</f>
        <v>17793.571478898048</v>
      </c>
      <c r="E30" s="156" t="s">
        <v>403</v>
      </c>
      <c r="F30" s="154" t="s">
        <v>410</v>
      </c>
    </row>
    <row r="31" spans="2:8">
      <c r="B31" s="143" t="s">
        <v>411</v>
      </c>
      <c r="C31" s="134" t="s">
        <v>412</v>
      </c>
      <c r="D31" s="159">
        <f>$D30*0.03+$D28*0.02</f>
        <v>558.78011733991445</v>
      </c>
      <c r="E31" s="156" t="s">
        <v>413</v>
      </c>
      <c r="F31" s="154" t="s">
        <v>414</v>
      </c>
    </row>
    <row r="32" spans="2:8">
      <c r="B32" s="143" t="s">
        <v>415</v>
      </c>
      <c r="C32" s="134" t="s">
        <v>416</v>
      </c>
      <c r="D32" s="159">
        <f>($D27-$D27*$D$17)/$D$22</f>
        <v>334.15157706850795</v>
      </c>
      <c r="E32" s="156" t="s">
        <v>413</v>
      </c>
      <c r="F32" s="154" t="s">
        <v>417</v>
      </c>
    </row>
    <row r="33" spans="2:7">
      <c r="B33" s="143" t="s">
        <v>418</v>
      </c>
      <c r="C33" s="134" t="s">
        <v>419</v>
      </c>
      <c r="D33" s="159">
        <f>$D27*$D$15*$D$18</f>
        <v>281.94039315155356</v>
      </c>
      <c r="E33" s="156" t="s">
        <v>413</v>
      </c>
      <c r="F33" s="154" t="s">
        <v>420</v>
      </c>
    </row>
    <row r="34" spans="2:7">
      <c r="B34" s="143" t="s">
        <v>421</v>
      </c>
      <c r="C34" s="134" t="s">
        <v>422</v>
      </c>
      <c r="D34" s="159">
        <f>$D27*$D$15*$D$19</f>
        <v>37.592052420207146</v>
      </c>
      <c r="E34" s="156" t="s">
        <v>413</v>
      </c>
      <c r="F34" s="154" t="s">
        <v>423</v>
      </c>
    </row>
    <row r="35" spans="2:7">
      <c r="B35" s="143" t="s">
        <v>424</v>
      </c>
      <c r="C35" s="134" t="s">
        <v>425</v>
      </c>
      <c r="D35" s="159">
        <f>$D29*$D$20</f>
        <v>3.4067368421052633</v>
      </c>
      <c r="E35" s="156" t="s">
        <v>413</v>
      </c>
      <c r="F35" s="154" t="s">
        <v>426</v>
      </c>
    </row>
    <row r="36" spans="2:7">
      <c r="B36" s="143" t="s">
        <v>427</v>
      </c>
      <c r="C36" s="134" t="s">
        <v>428</v>
      </c>
      <c r="D36" s="159">
        <f>$D30*0.6*1/2*(0.015)+$D28*(0.015*1/6)</f>
        <v>83.192693276662837</v>
      </c>
      <c r="E36" s="156" t="s">
        <v>413</v>
      </c>
      <c r="F36" s="154" t="s">
        <v>459</v>
      </c>
    </row>
    <row r="37" spans="2:7" ht="12.5" thickBot="1">
      <c r="B37" s="160" t="s">
        <v>429</v>
      </c>
      <c r="C37" s="161" t="s">
        <v>430</v>
      </c>
      <c r="D37" s="162">
        <f>(D31+D32+D33+D34+D35+D36)*2/100</f>
        <v>25.981271401979026</v>
      </c>
      <c r="E37" s="163" t="s">
        <v>413</v>
      </c>
      <c r="F37" s="164" t="s">
        <v>431</v>
      </c>
    </row>
    <row r="38" spans="2:7" ht="18" customHeight="1" thickBot="1">
      <c r="B38" s="165" t="s">
        <v>432</v>
      </c>
      <c r="C38" s="166"/>
      <c r="D38" s="167">
        <f>ROUNDDOWN((SUM(D31:D37)/12),0)</f>
        <v>110</v>
      </c>
      <c r="E38" s="168" t="s">
        <v>433</v>
      </c>
      <c r="F38" s="169" t="s">
        <v>434</v>
      </c>
      <c r="G38" s="170"/>
    </row>
    <row r="39" spans="2:7" s="116" customFormat="1">
      <c r="G39" s="171"/>
    </row>
    <row r="40" spans="2:7">
      <c r="B40" s="115" t="s">
        <v>435</v>
      </c>
      <c r="C40" s="116"/>
      <c r="G40" s="170"/>
    </row>
    <row r="41" spans="2:7">
      <c r="B41" s="143" t="s">
        <v>397</v>
      </c>
      <c r="C41" s="134" t="s">
        <v>398</v>
      </c>
      <c r="D41" s="155">
        <f>($D$6/$D$12)*$D$9*(1+$D$13)</f>
        <v>21928.697245120838</v>
      </c>
      <c r="E41" s="156" t="s">
        <v>399</v>
      </c>
      <c r="F41" s="154" t="s">
        <v>436</v>
      </c>
      <c r="G41" s="170"/>
    </row>
    <row r="42" spans="2:7">
      <c r="B42" s="143" t="s">
        <v>401</v>
      </c>
      <c r="C42" s="134" t="s">
        <v>402</v>
      </c>
      <c r="D42" s="155">
        <f>$D$24*0.7*($D$6/$D$12)/$D$23</f>
        <v>1456.7567567567569</v>
      </c>
      <c r="E42" s="156" t="s">
        <v>403</v>
      </c>
      <c r="F42" s="154" t="s">
        <v>437</v>
      </c>
      <c r="G42" s="170"/>
    </row>
    <row r="43" spans="2:7">
      <c r="B43" s="143" t="s">
        <v>405</v>
      </c>
      <c r="C43" s="134" t="s">
        <v>406</v>
      </c>
      <c r="D43" s="158">
        <f>$D$21*$D$6/$D$12</f>
        <v>13705.263157894737</v>
      </c>
      <c r="E43" s="156" t="s">
        <v>403</v>
      </c>
      <c r="F43" s="154" t="s">
        <v>407</v>
      </c>
      <c r="G43" s="170"/>
    </row>
    <row r="44" spans="2:7">
      <c r="B44" s="143" t="s">
        <v>408</v>
      </c>
      <c r="C44" s="134" t="s">
        <v>409</v>
      </c>
      <c r="D44" s="159">
        <f>$D41*$D$15-$D41*$D$15*$D$16/$D$22*$D$14</f>
        <v>20759.166725381059</v>
      </c>
      <c r="E44" s="156" t="s">
        <v>403</v>
      </c>
      <c r="F44" s="154" t="s">
        <v>410</v>
      </c>
      <c r="G44" s="170"/>
    </row>
    <row r="45" spans="2:7">
      <c r="B45" s="143" t="s">
        <v>411</v>
      </c>
      <c r="C45" s="134" t="s">
        <v>412</v>
      </c>
      <c r="D45" s="159">
        <f>$D44*0.03+$D42*0.02</f>
        <v>651.91013689656688</v>
      </c>
      <c r="E45" s="156" t="s">
        <v>413</v>
      </c>
      <c r="F45" s="154" t="s">
        <v>414</v>
      </c>
      <c r="G45" s="170"/>
    </row>
    <row r="46" spans="2:7">
      <c r="B46" s="143" t="s">
        <v>415</v>
      </c>
      <c r="C46" s="134" t="s">
        <v>416</v>
      </c>
      <c r="D46" s="159">
        <f>($D41-$D41*$D$17)/$D$22</f>
        <v>389.84350657992604</v>
      </c>
      <c r="E46" s="156" t="s">
        <v>413</v>
      </c>
      <c r="F46" s="154" t="s">
        <v>417</v>
      </c>
      <c r="G46" s="170"/>
    </row>
    <row r="47" spans="2:7">
      <c r="B47" s="143" t="s">
        <v>418</v>
      </c>
      <c r="C47" s="134" t="s">
        <v>419</v>
      </c>
      <c r="D47" s="159">
        <f>$D41*$D$15*$D$18</f>
        <v>328.93045867681258</v>
      </c>
      <c r="E47" s="156" t="s">
        <v>413</v>
      </c>
      <c r="F47" s="154" t="s">
        <v>420</v>
      </c>
      <c r="G47" s="170"/>
    </row>
    <row r="48" spans="2:7">
      <c r="B48" s="143" t="s">
        <v>421</v>
      </c>
      <c r="C48" s="134" t="s">
        <v>422</v>
      </c>
      <c r="D48" s="159">
        <f>$D41*$D$15*$D$19</f>
        <v>43.857394490241681</v>
      </c>
      <c r="E48" s="156" t="s">
        <v>413</v>
      </c>
      <c r="F48" s="154" t="s">
        <v>423</v>
      </c>
      <c r="G48" s="170"/>
    </row>
    <row r="49" spans="2:7">
      <c r="B49" s="143" t="s">
        <v>424</v>
      </c>
      <c r="C49" s="134" t="s">
        <v>425</v>
      </c>
      <c r="D49" s="159">
        <f>$D43*$D$20</f>
        <v>3.9745263157894737</v>
      </c>
      <c r="E49" s="156" t="s">
        <v>413</v>
      </c>
      <c r="F49" s="154" t="s">
        <v>426</v>
      </c>
      <c r="G49" s="170"/>
    </row>
    <row r="50" spans="2:7">
      <c r="B50" s="143" t="s">
        <v>427</v>
      </c>
      <c r="C50" s="134" t="s">
        <v>428</v>
      </c>
      <c r="D50" s="159">
        <f>$D44*0.6*1/2*(0.015)+$D42*(0.015*1/6)</f>
        <v>97.058142156106655</v>
      </c>
      <c r="E50" s="156" t="s">
        <v>413</v>
      </c>
      <c r="F50" s="154" t="s">
        <v>459</v>
      </c>
      <c r="G50" s="170"/>
    </row>
    <row r="51" spans="2:7" ht="12.5" thickBot="1">
      <c r="B51" s="160" t="s">
        <v>429</v>
      </c>
      <c r="C51" s="161" t="s">
        <v>430</v>
      </c>
      <c r="D51" s="162">
        <f>(D45+D46+D47+D48+D49+D50)*2/100</f>
        <v>30.311483302308865</v>
      </c>
      <c r="E51" s="163" t="s">
        <v>413</v>
      </c>
      <c r="F51" s="164" t="s">
        <v>431</v>
      </c>
      <c r="G51" s="170"/>
    </row>
    <row r="52" spans="2:7" ht="18" customHeight="1" thickBot="1">
      <c r="B52" s="165" t="s">
        <v>438</v>
      </c>
      <c r="C52" s="166"/>
      <c r="D52" s="167">
        <f>ROUNDDOWN((SUM(D45:D51)/12),0)</f>
        <v>128</v>
      </c>
      <c r="E52" s="168" t="s">
        <v>433</v>
      </c>
      <c r="F52" s="169" t="s">
        <v>434</v>
      </c>
      <c r="G52" s="170"/>
    </row>
  </sheetData>
  <phoneticPr fontId="3"/>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2B92A-E222-404E-B5A0-BA9F1337A0FC}">
  <dimension ref="B2:J68"/>
  <sheetViews>
    <sheetView workbookViewId="0"/>
  </sheetViews>
  <sheetFormatPr defaultColWidth="9" defaultRowHeight="12"/>
  <cols>
    <col min="1" max="1" width="3.5" style="117" customWidth="1"/>
    <col min="2" max="2" width="20.33203125" style="117" bestFit="1" customWidth="1"/>
    <col min="3" max="3" width="6.25" style="117" customWidth="1"/>
    <col min="4" max="4" width="7.25" style="117" bestFit="1" customWidth="1"/>
    <col min="5" max="5" width="10.5" style="117" bestFit="1" customWidth="1"/>
    <col min="6" max="6" width="56" style="117" bestFit="1" customWidth="1"/>
    <col min="7" max="16384" width="9" style="117"/>
  </cols>
  <sheetData>
    <row r="2" spans="2:10" ht="12.5" thickBot="1">
      <c r="B2" s="115" t="s">
        <v>348</v>
      </c>
      <c r="C2" s="116"/>
    </row>
    <row r="3" spans="2:10" ht="18" customHeight="1">
      <c r="B3" s="118" t="s">
        <v>558</v>
      </c>
      <c r="C3" s="119"/>
      <c r="D3" s="120">
        <v>2</v>
      </c>
      <c r="E3" s="121" t="s">
        <v>350</v>
      </c>
      <c r="F3" s="122" t="s">
        <v>559</v>
      </c>
    </row>
    <row r="4" spans="2:10" ht="18" customHeight="1" thickBot="1">
      <c r="B4" s="123" t="s">
        <v>557</v>
      </c>
      <c r="C4" s="124"/>
      <c r="D4" s="125">
        <v>47</v>
      </c>
      <c r="E4" s="126" t="s">
        <v>353</v>
      </c>
      <c r="F4" s="127"/>
    </row>
    <row r="5" spans="2:10" ht="18" customHeight="1">
      <c r="B5" s="118" t="s">
        <v>349</v>
      </c>
      <c r="C5" s="119"/>
      <c r="D5" s="120">
        <v>8</v>
      </c>
      <c r="E5" s="121" t="s">
        <v>350</v>
      </c>
      <c r="F5" s="122" t="s">
        <v>559</v>
      </c>
    </row>
    <row r="6" spans="2:10" ht="18" customHeight="1" thickBot="1">
      <c r="B6" s="123" t="s">
        <v>352</v>
      </c>
      <c r="C6" s="124"/>
      <c r="D6" s="125">
        <v>60</v>
      </c>
      <c r="E6" s="126" t="s">
        <v>353</v>
      </c>
      <c r="F6" s="127"/>
    </row>
    <row r="7" spans="2:10" ht="18" customHeight="1">
      <c r="B7" s="118" t="s">
        <v>355</v>
      </c>
      <c r="C7" s="119"/>
      <c r="D7" s="120">
        <v>6</v>
      </c>
      <c r="E7" s="121" t="s">
        <v>350</v>
      </c>
      <c r="F7" s="122" t="s">
        <v>559</v>
      </c>
    </row>
    <row r="8" spans="2:10" ht="18" customHeight="1" thickBot="1">
      <c r="B8" s="123" t="s">
        <v>357</v>
      </c>
      <c r="C8" s="124"/>
      <c r="D8" s="125">
        <v>70</v>
      </c>
      <c r="E8" s="126" t="s">
        <v>353</v>
      </c>
      <c r="F8" s="127"/>
    </row>
    <row r="9" spans="2:10" ht="18" customHeight="1">
      <c r="B9" s="128" t="s">
        <v>359</v>
      </c>
      <c r="C9" s="129"/>
      <c r="D9" s="130">
        <f>1322.97+531.21</f>
        <v>1854.18</v>
      </c>
      <c r="E9" s="131" t="s">
        <v>360</v>
      </c>
      <c r="F9" s="132" t="s">
        <v>559</v>
      </c>
    </row>
    <row r="10" spans="2:10" ht="18" customHeight="1">
      <c r="B10" s="133" t="s">
        <v>361</v>
      </c>
      <c r="C10" s="134"/>
      <c r="D10" s="135">
        <v>28.3</v>
      </c>
      <c r="E10" s="136" t="s">
        <v>362</v>
      </c>
      <c r="F10" s="137" t="s">
        <v>560</v>
      </c>
    </row>
    <row r="11" spans="2:10" ht="18" customHeight="1" thickBot="1">
      <c r="B11" s="138" t="s">
        <v>364</v>
      </c>
      <c r="C11" s="139"/>
      <c r="D11" s="140">
        <v>266.80851063829789</v>
      </c>
      <c r="E11" s="141" t="s">
        <v>362</v>
      </c>
      <c r="F11" s="142" t="s">
        <v>566</v>
      </c>
      <c r="I11" s="117">
        <f>25080/94</f>
        <v>266.80851063829789</v>
      </c>
      <c r="J11" s="117" t="s">
        <v>566</v>
      </c>
    </row>
    <row r="12" spans="2:10">
      <c r="I12" s="117">
        <v>509.35865191146877</v>
      </c>
      <c r="J12" s="117" t="s">
        <v>565</v>
      </c>
    </row>
    <row r="13" spans="2:10">
      <c r="B13" s="115" t="s">
        <v>366</v>
      </c>
      <c r="C13" s="116"/>
    </row>
    <row r="14" spans="2:10">
      <c r="B14" s="143" t="s">
        <v>367</v>
      </c>
      <c r="C14" s="134"/>
      <c r="D14" s="144">
        <v>0.95</v>
      </c>
      <c r="E14" s="145"/>
      <c r="F14" s="146" t="s">
        <v>368</v>
      </c>
    </row>
    <row r="15" spans="2:10">
      <c r="B15" s="143" t="s">
        <v>369</v>
      </c>
      <c r="C15" s="134"/>
      <c r="D15" s="147">
        <v>0.1</v>
      </c>
      <c r="E15" s="145"/>
      <c r="F15" s="146" t="s">
        <v>370</v>
      </c>
    </row>
    <row r="16" spans="2:10">
      <c r="B16" s="143" t="s">
        <v>371</v>
      </c>
      <c r="C16" s="134" t="s">
        <v>372</v>
      </c>
      <c r="D16" s="148">
        <v>3</v>
      </c>
      <c r="E16" s="145"/>
      <c r="F16" s="146" t="s">
        <v>373</v>
      </c>
    </row>
    <row r="17" spans="2:8">
      <c r="B17" s="143" t="s">
        <v>374</v>
      </c>
      <c r="C17" s="134" t="s">
        <v>375</v>
      </c>
      <c r="D17" s="149">
        <v>1</v>
      </c>
      <c r="E17" s="145"/>
      <c r="F17" s="146" t="s">
        <v>370</v>
      </c>
    </row>
    <row r="18" spans="2:8">
      <c r="B18" s="143" t="s">
        <v>376</v>
      </c>
      <c r="C18" s="134" t="s">
        <v>377</v>
      </c>
      <c r="D18" s="150">
        <v>0.8</v>
      </c>
      <c r="E18" s="145"/>
      <c r="F18" s="146" t="s">
        <v>444</v>
      </c>
    </row>
    <row r="19" spans="2:8">
      <c r="B19" s="143" t="s">
        <v>378</v>
      </c>
      <c r="C19" s="134" t="s">
        <v>379</v>
      </c>
      <c r="D19" s="150">
        <v>0.2</v>
      </c>
      <c r="E19" s="145"/>
      <c r="F19" s="146" t="s">
        <v>445</v>
      </c>
    </row>
    <row r="20" spans="2:8">
      <c r="B20" s="143" t="s">
        <v>380</v>
      </c>
      <c r="C20" s="134" t="s">
        <v>381</v>
      </c>
      <c r="D20" s="150">
        <v>1.2E-2</v>
      </c>
      <c r="E20" s="145"/>
      <c r="F20" s="146" t="s">
        <v>455</v>
      </c>
    </row>
    <row r="21" spans="2:8">
      <c r="B21" s="143" t="s">
        <v>382</v>
      </c>
      <c r="C21" s="134" t="s">
        <v>383</v>
      </c>
      <c r="D21" s="150">
        <v>1.5E-3</v>
      </c>
      <c r="E21" s="145"/>
      <c r="F21" s="146" t="s">
        <v>456</v>
      </c>
    </row>
    <row r="22" spans="2:8">
      <c r="B22" s="143" t="s">
        <v>384</v>
      </c>
      <c r="C22" s="134" t="s">
        <v>385</v>
      </c>
      <c r="D22" s="151">
        <v>2.9E-4</v>
      </c>
      <c r="E22" s="145"/>
      <c r="F22" s="146" t="s">
        <v>386</v>
      </c>
    </row>
    <row r="23" spans="2:8">
      <c r="B23" s="143" t="s">
        <v>387</v>
      </c>
      <c r="C23" s="134"/>
      <c r="D23" s="151">
        <v>186</v>
      </c>
      <c r="E23" s="145" t="s">
        <v>362</v>
      </c>
      <c r="F23" s="146" t="s">
        <v>386</v>
      </c>
    </row>
    <row r="24" spans="2:8">
      <c r="B24" s="143" t="s">
        <v>388</v>
      </c>
      <c r="C24" s="134" t="s">
        <v>389</v>
      </c>
      <c r="D24" s="152">
        <v>70</v>
      </c>
      <c r="E24" s="153" t="s">
        <v>390</v>
      </c>
      <c r="F24" s="146" t="s">
        <v>457</v>
      </c>
    </row>
    <row r="25" spans="2:8">
      <c r="B25" s="143" t="s">
        <v>391</v>
      </c>
      <c r="C25" s="134"/>
      <c r="D25" s="143">
        <f>($D$3*$D$4+$D$5*$D$6+$D$7*$D$8)/$D$14</f>
        <v>1046.3157894736842</v>
      </c>
      <c r="E25" s="145" t="s">
        <v>360</v>
      </c>
      <c r="F25" s="154" t="s">
        <v>392</v>
      </c>
    </row>
    <row r="26" spans="2:8">
      <c r="B26" s="143" t="s">
        <v>393</v>
      </c>
      <c r="C26" s="134"/>
      <c r="D26" s="143">
        <f>$D$9*$D$10</f>
        <v>52473.294000000002</v>
      </c>
      <c r="E26" s="145" t="s">
        <v>394</v>
      </c>
      <c r="F26" s="154" t="s">
        <v>395</v>
      </c>
    </row>
    <row r="27" spans="2:8" s="116" customFormat="1"/>
    <row r="28" spans="2:8">
      <c r="B28" s="115" t="s">
        <v>561</v>
      </c>
      <c r="C28" s="116"/>
    </row>
    <row r="29" spans="2:8">
      <c r="B29" s="143" t="s">
        <v>397</v>
      </c>
      <c r="C29" s="134" t="s">
        <v>398</v>
      </c>
      <c r="D29" s="155">
        <f>($D$4/$D$14)*$D$11*(1+$D$15)</f>
        <v>14520.000000000002</v>
      </c>
      <c r="E29" s="156" t="s">
        <v>399</v>
      </c>
      <c r="F29" s="154" t="s">
        <v>562</v>
      </c>
    </row>
    <row r="30" spans="2:8">
      <c r="B30" s="143" t="s">
        <v>401</v>
      </c>
      <c r="C30" s="134" t="s">
        <v>402</v>
      </c>
      <c r="D30" s="155">
        <f>$D$26*0.7*($D$4/$D$14)/$D$25</f>
        <v>1736.7921253521129</v>
      </c>
      <c r="E30" s="156" t="s">
        <v>403</v>
      </c>
      <c r="F30" s="154" t="s">
        <v>563</v>
      </c>
      <c r="H30" s="157"/>
    </row>
    <row r="31" spans="2:8">
      <c r="B31" s="143" t="s">
        <v>405</v>
      </c>
      <c r="C31" s="134" t="s">
        <v>406</v>
      </c>
      <c r="D31" s="158">
        <f>$D$23*$D$4/$D$14</f>
        <v>9202.105263157895</v>
      </c>
      <c r="E31" s="156" t="s">
        <v>403</v>
      </c>
      <c r="F31" s="154" t="s">
        <v>564</v>
      </c>
    </row>
    <row r="32" spans="2:8">
      <c r="B32" s="143" t="s">
        <v>408</v>
      </c>
      <c r="C32" s="134" t="s">
        <v>409</v>
      </c>
      <c r="D32" s="159">
        <f>$D29*$D$17-$D29*$D$17*$D$18/$D$24*$D$16</f>
        <v>14022.17142857143</v>
      </c>
      <c r="E32" s="156" t="s">
        <v>403</v>
      </c>
      <c r="F32" s="154" t="s">
        <v>410</v>
      </c>
    </row>
    <row r="33" spans="2:8">
      <c r="B33" s="143" t="s">
        <v>411</v>
      </c>
      <c r="C33" s="134" t="s">
        <v>412</v>
      </c>
      <c r="D33" s="159">
        <f>$D32*0.03+$D30*0.02</f>
        <v>455.40098536418515</v>
      </c>
      <c r="E33" s="156" t="s">
        <v>413</v>
      </c>
      <c r="F33" s="154" t="s">
        <v>414</v>
      </c>
    </row>
    <row r="34" spans="2:8">
      <c r="B34" s="143" t="s">
        <v>415</v>
      </c>
      <c r="C34" s="134" t="s">
        <v>416</v>
      </c>
      <c r="D34" s="159">
        <f>($D29-$D29*$D$19)/$D$24</f>
        <v>165.94285714285718</v>
      </c>
      <c r="E34" s="156" t="s">
        <v>413</v>
      </c>
      <c r="F34" s="154" t="s">
        <v>417</v>
      </c>
    </row>
    <row r="35" spans="2:8">
      <c r="B35" s="143" t="s">
        <v>418</v>
      </c>
      <c r="C35" s="134" t="s">
        <v>419</v>
      </c>
      <c r="D35" s="159">
        <f>$D29*$D$17*$D$20</f>
        <v>174.24000000000004</v>
      </c>
      <c r="E35" s="156" t="s">
        <v>413</v>
      </c>
      <c r="F35" s="154" t="s">
        <v>420</v>
      </c>
    </row>
    <row r="36" spans="2:8">
      <c r="B36" s="143" t="s">
        <v>421</v>
      </c>
      <c r="C36" s="134" t="s">
        <v>422</v>
      </c>
      <c r="D36" s="159">
        <f>$D29*$D$17*$D$21</f>
        <v>21.780000000000005</v>
      </c>
      <c r="E36" s="156" t="s">
        <v>413</v>
      </c>
      <c r="F36" s="154" t="s">
        <v>423</v>
      </c>
    </row>
    <row r="37" spans="2:8">
      <c r="B37" s="143" t="s">
        <v>424</v>
      </c>
      <c r="C37" s="134" t="s">
        <v>425</v>
      </c>
      <c r="D37" s="159">
        <f>$D31*$D$22</f>
        <v>2.6686105263157898</v>
      </c>
      <c r="E37" s="156" t="s">
        <v>413</v>
      </c>
      <c r="F37" s="154" t="s">
        <v>426</v>
      </c>
    </row>
    <row r="38" spans="2:8">
      <c r="B38" s="143" t="s">
        <v>427</v>
      </c>
      <c r="C38" s="134" t="s">
        <v>428</v>
      </c>
      <c r="D38" s="159">
        <f>$D32*0.6*1/2*(0.015+0.003)+$D30*(0.015*1/6+0.003*1/3)</f>
        <v>81.798498153018102</v>
      </c>
      <c r="E38" s="156" t="s">
        <v>413</v>
      </c>
      <c r="F38" s="172" t="s">
        <v>458</v>
      </c>
    </row>
    <row r="39" spans="2:8" ht="12.5" thickBot="1">
      <c r="B39" s="160" t="s">
        <v>429</v>
      </c>
      <c r="C39" s="161" t="s">
        <v>430</v>
      </c>
      <c r="D39" s="162">
        <f>(D33+D34+D35+D36+D37+D38)*2/100</f>
        <v>18.036619023727525</v>
      </c>
      <c r="E39" s="163" t="s">
        <v>413</v>
      </c>
      <c r="F39" s="164" t="s">
        <v>431</v>
      </c>
    </row>
    <row r="40" spans="2:8" ht="18" customHeight="1" thickBot="1">
      <c r="B40" s="165" t="s">
        <v>432</v>
      </c>
      <c r="C40" s="166"/>
      <c r="D40" s="167">
        <f>ROUNDDOWN((SUM(D33:D39)/12),0)</f>
        <v>76</v>
      </c>
      <c r="E40" s="168" t="s">
        <v>433</v>
      </c>
      <c r="F40" s="169" t="s">
        <v>434</v>
      </c>
      <c r="G40" s="170"/>
    </row>
    <row r="41" spans="2:8" s="116" customFormat="1"/>
    <row r="42" spans="2:8">
      <c r="B42" s="115" t="s">
        <v>396</v>
      </c>
      <c r="C42" s="116"/>
    </row>
    <row r="43" spans="2:8">
      <c r="B43" s="143" t="s">
        <v>397</v>
      </c>
      <c r="C43" s="134" t="s">
        <v>398</v>
      </c>
      <c r="D43" s="155">
        <f>($D$6/$D$14)*$D$11*(1+$D$15)</f>
        <v>18536.170212765959</v>
      </c>
      <c r="E43" s="156" t="s">
        <v>399</v>
      </c>
      <c r="F43" s="154" t="s">
        <v>400</v>
      </c>
    </row>
    <row r="44" spans="2:8">
      <c r="B44" s="143" t="s">
        <v>401</v>
      </c>
      <c r="C44" s="134" t="s">
        <v>402</v>
      </c>
      <c r="D44" s="155">
        <f>$D$26*0.7*($D$6/$D$14)/$D$25</f>
        <v>2217.1814366197186</v>
      </c>
      <c r="E44" s="156" t="s">
        <v>403</v>
      </c>
      <c r="F44" s="154" t="s">
        <v>404</v>
      </c>
      <c r="H44" s="157"/>
    </row>
    <row r="45" spans="2:8">
      <c r="B45" s="143" t="s">
        <v>405</v>
      </c>
      <c r="C45" s="134" t="s">
        <v>406</v>
      </c>
      <c r="D45" s="158">
        <f>$D$23*$D$6/$D$14</f>
        <v>11747.368421052632</v>
      </c>
      <c r="E45" s="156" t="s">
        <v>403</v>
      </c>
      <c r="F45" s="154" t="s">
        <v>407</v>
      </c>
    </row>
    <row r="46" spans="2:8">
      <c r="B46" s="143" t="s">
        <v>408</v>
      </c>
      <c r="C46" s="134" t="s">
        <v>409</v>
      </c>
      <c r="D46" s="159">
        <f>$D43*$D$17-$D43*$D$17*$D$18/$D$24*$D$16</f>
        <v>17900.644376899698</v>
      </c>
      <c r="E46" s="156" t="s">
        <v>403</v>
      </c>
      <c r="F46" s="154" t="s">
        <v>410</v>
      </c>
    </row>
    <row r="47" spans="2:8">
      <c r="B47" s="143" t="s">
        <v>411</v>
      </c>
      <c r="C47" s="134" t="s">
        <v>412</v>
      </c>
      <c r="D47" s="159">
        <f>$D46*0.03+$D44*0.02</f>
        <v>581.36296003938526</v>
      </c>
      <c r="E47" s="156" t="s">
        <v>413</v>
      </c>
      <c r="F47" s="154" t="s">
        <v>414</v>
      </c>
    </row>
    <row r="48" spans="2:8">
      <c r="B48" s="143" t="s">
        <v>415</v>
      </c>
      <c r="C48" s="134" t="s">
        <v>416</v>
      </c>
      <c r="D48" s="159">
        <f>($D43-$D43*$D$19)/$D$24</f>
        <v>211.84194528875383</v>
      </c>
      <c r="E48" s="156" t="s">
        <v>413</v>
      </c>
      <c r="F48" s="154" t="s">
        <v>417</v>
      </c>
    </row>
    <row r="49" spans="2:7">
      <c r="B49" s="143" t="s">
        <v>418</v>
      </c>
      <c r="C49" s="134" t="s">
        <v>419</v>
      </c>
      <c r="D49" s="159">
        <f>$D43*$D$17*$D$20</f>
        <v>222.43404255319152</v>
      </c>
      <c r="E49" s="156" t="s">
        <v>413</v>
      </c>
      <c r="F49" s="154" t="s">
        <v>420</v>
      </c>
    </row>
    <row r="50" spans="2:7">
      <c r="B50" s="143" t="s">
        <v>421</v>
      </c>
      <c r="C50" s="134" t="s">
        <v>422</v>
      </c>
      <c r="D50" s="159">
        <f>$D43*$D$17*$D$21</f>
        <v>27.80425531914894</v>
      </c>
      <c r="E50" s="156" t="s">
        <v>413</v>
      </c>
      <c r="F50" s="154" t="s">
        <v>423</v>
      </c>
    </row>
    <row r="51" spans="2:7">
      <c r="B51" s="143" t="s">
        <v>424</v>
      </c>
      <c r="C51" s="134" t="s">
        <v>425</v>
      </c>
      <c r="D51" s="159">
        <f>$D45*$D$22</f>
        <v>3.4067368421052633</v>
      </c>
      <c r="E51" s="156" t="s">
        <v>413</v>
      </c>
      <c r="F51" s="154" t="s">
        <v>426</v>
      </c>
    </row>
    <row r="52" spans="2:7">
      <c r="B52" s="143" t="s">
        <v>427</v>
      </c>
      <c r="C52" s="134" t="s">
        <v>428</v>
      </c>
      <c r="D52" s="159">
        <f>$D46*0.6*1/2*(0.015+0.003)+$D44*(0.015*1/6+0.003*1/3)</f>
        <v>104.42361466342737</v>
      </c>
      <c r="E52" s="156" t="s">
        <v>413</v>
      </c>
      <c r="F52" s="172" t="s">
        <v>458</v>
      </c>
    </row>
    <row r="53" spans="2:7" ht="12.5" thickBot="1">
      <c r="B53" s="160" t="s">
        <v>429</v>
      </c>
      <c r="C53" s="161" t="s">
        <v>430</v>
      </c>
      <c r="D53" s="162">
        <f>(D47+D48+D49+D50+D51+D52)*2/100</f>
        <v>23.025471094120245</v>
      </c>
      <c r="E53" s="163" t="s">
        <v>413</v>
      </c>
      <c r="F53" s="164" t="s">
        <v>431</v>
      </c>
    </row>
    <row r="54" spans="2:7" ht="18" customHeight="1" thickBot="1">
      <c r="B54" s="165" t="s">
        <v>432</v>
      </c>
      <c r="C54" s="166"/>
      <c r="D54" s="167">
        <f>ROUNDDOWN((SUM(D47:D53)/12),0)</f>
        <v>97</v>
      </c>
      <c r="E54" s="168" t="s">
        <v>433</v>
      </c>
      <c r="F54" s="169" t="s">
        <v>434</v>
      </c>
      <c r="G54" s="170"/>
    </row>
    <row r="55" spans="2:7" s="116" customFormat="1">
      <c r="G55" s="171"/>
    </row>
    <row r="56" spans="2:7">
      <c r="B56" s="115" t="s">
        <v>435</v>
      </c>
      <c r="C56" s="116"/>
      <c r="G56" s="170"/>
    </row>
    <row r="57" spans="2:7">
      <c r="B57" s="143" t="s">
        <v>397</v>
      </c>
      <c r="C57" s="134" t="s">
        <v>398</v>
      </c>
      <c r="D57" s="155">
        <f>($D$8/$D$14)*$D$11*(1+$D$15)</f>
        <v>21625.531914893621</v>
      </c>
      <c r="E57" s="156" t="s">
        <v>399</v>
      </c>
      <c r="F57" s="154" t="s">
        <v>436</v>
      </c>
      <c r="G57" s="170"/>
    </row>
    <row r="58" spans="2:7">
      <c r="B58" s="143" t="s">
        <v>401</v>
      </c>
      <c r="C58" s="134" t="s">
        <v>402</v>
      </c>
      <c r="D58" s="155">
        <f>$D$26*0.7*($D$8/$D$14)/$D$25</f>
        <v>2586.7116760563385</v>
      </c>
      <c r="E58" s="156" t="s">
        <v>403</v>
      </c>
      <c r="F58" s="154" t="s">
        <v>437</v>
      </c>
      <c r="G58" s="170"/>
    </row>
    <row r="59" spans="2:7">
      <c r="B59" s="143" t="s">
        <v>405</v>
      </c>
      <c r="C59" s="134" t="s">
        <v>406</v>
      </c>
      <c r="D59" s="158">
        <f>$D$23*$D$8/$D$14</f>
        <v>13705.263157894737</v>
      </c>
      <c r="E59" s="156" t="s">
        <v>403</v>
      </c>
      <c r="F59" s="154" t="s">
        <v>407</v>
      </c>
      <c r="G59" s="170"/>
    </row>
    <row r="60" spans="2:7">
      <c r="B60" s="143" t="s">
        <v>408</v>
      </c>
      <c r="C60" s="134" t="s">
        <v>409</v>
      </c>
      <c r="D60" s="159">
        <f>$D57*$D$17-$D57*$D$17*$D$18/$D$24*$D$16</f>
        <v>20884.085106382983</v>
      </c>
      <c r="E60" s="156" t="s">
        <v>403</v>
      </c>
      <c r="F60" s="154" t="s">
        <v>410</v>
      </c>
      <c r="G60" s="170"/>
    </row>
    <row r="61" spans="2:7">
      <c r="B61" s="143" t="s">
        <v>411</v>
      </c>
      <c r="C61" s="134" t="s">
        <v>412</v>
      </c>
      <c r="D61" s="159">
        <f>$D60*0.03+$D58*0.02</f>
        <v>678.25678671261619</v>
      </c>
      <c r="E61" s="156" t="s">
        <v>413</v>
      </c>
      <c r="F61" s="154" t="s">
        <v>414</v>
      </c>
      <c r="G61" s="170"/>
    </row>
    <row r="62" spans="2:7">
      <c r="B62" s="143" t="s">
        <v>415</v>
      </c>
      <c r="C62" s="134" t="s">
        <v>416</v>
      </c>
      <c r="D62" s="159">
        <f>($D57-$D57*$D$19)/$D$24</f>
        <v>247.14893617021283</v>
      </c>
      <c r="E62" s="156" t="s">
        <v>413</v>
      </c>
      <c r="F62" s="154" t="s">
        <v>417</v>
      </c>
      <c r="G62" s="170"/>
    </row>
    <row r="63" spans="2:7">
      <c r="B63" s="143" t="s">
        <v>418</v>
      </c>
      <c r="C63" s="134" t="s">
        <v>419</v>
      </c>
      <c r="D63" s="159">
        <f>$D57*$D$17*$D$20</f>
        <v>259.50638297872348</v>
      </c>
      <c r="E63" s="156" t="s">
        <v>413</v>
      </c>
      <c r="F63" s="154" t="s">
        <v>420</v>
      </c>
      <c r="G63" s="170"/>
    </row>
    <row r="64" spans="2:7">
      <c r="B64" s="143" t="s">
        <v>421</v>
      </c>
      <c r="C64" s="134" t="s">
        <v>422</v>
      </c>
      <c r="D64" s="159">
        <f>$D57*$D$17*$D$21</f>
        <v>32.438297872340435</v>
      </c>
      <c r="E64" s="156" t="s">
        <v>413</v>
      </c>
      <c r="F64" s="154" t="s">
        <v>423</v>
      </c>
      <c r="G64" s="170"/>
    </row>
    <row r="65" spans="2:7">
      <c r="B65" s="143" t="s">
        <v>424</v>
      </c>
      <c r="C65" s="134" t="s">
        <v>425</v>
      </c>
      <c r="D65" s="159">
        <f>$D59*$D$22</f>
        <v>3.9745263157894737</v>
      </c>
      <c r="E65" s="156" t="s">
        <v>413</v>
      </c>
      <c r="F65" s="154" t="s">
        <v>426</v>
      </c>
      <c r="G65" s="170"/>
    </row>
    <row r="66" spans="2:7">
      <c r="B66" s="143" t="s">
        <v>427</v>
      </c>
      <c r="C66" s="134" t="s">
        <v>428</v>
      </c>
      <c r="D66" s="159">
        <f>$D60*0.6*1/2*(0.015+0.003)+$D58*(0.015*1/6+0.003*1/3)</f>
        <v>121.82755044066528</v>
      </c>
      <c r="E66" s="156" t="s">
        <v>413</v>
      </c>
      <c r="F66" s="172" t="s">
        <v>458</v>
      </c>
      <c r="G66" s="170"/>
    </row>
    <row r="67" spans="2:7" ht="12.5" thickBot="1">
      <c r="B67" s="160" t="s">
        <v>429</v>
      </c>
      <c r="C67" s="161" t="s">
        <v>430</v>
      </c>
      <c r="D67" s="162">
        <f>(D61+D62+D63+D64+D65+D66)*2/100</f>
        <v>26.86304960980695</v>
      </c>
      <c r="E67" s="163" t="s">
        <v>413</v>
      </c>
      <c r="F67" s="164" t="s">
        <v>431</v>
      </c>
      <c r="G67" s="170"/>
    </row>
    <row r="68" spans="2:7" ht="18" customHeight="1" thickBot="1">
      <c r="B68" s="165" t="s">
        <v>438</v>
      </c>
      <c r="C68" s="166"/>
      <c r="D68" s="167">
        <f>ROUNDDOWN((SUM(D61:D67)/12),0)</f>
        <v>114</v>
      </c>
      <c r="E68" s="168" t="s">
        <v>433</v>
      </c>
      <c r="F68" s="169" t="s">
        <v>434</v>
      </c>
      <c r="G68" s="170"/>
    </row>
  </sheetData>
  <phoneticPr fontId="3"/>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112EC-FA77-41DB-8D95-58302D0A318A}">
  <dimension ref="A1:AC21"/>
  <sheetViews>
    <sheetView workbookViewId="0"/>
  </sheetViews>
  <sheetFormatPr defaultColWidth="9" defaultRowHeight="18" customHeight="1"/>
  <cols>
    <col min="1" max="1" width="9.5" style="110" bestFit="1" customWidth="1"/>
    <col min="2" max="2" width="11.58203125" style="110" bestFit="1" customWidth="1"/>
    <col min="3" max="3" width="15" style="110" bestFit="1" customWidth="1"/>
    <col min="4" max="4" width="40.33203125" style="110" bestFit="1" customWidth="1"/>
    <col min="5" max="5" width="9.5" style="110" bestFit="1" customWidth="1"/>
    <col min="6" max="6" width="11.83203125" style="110" bestFit="1" customWidth="1"/>
    <col min="7" max="7" width="9.5" style="110" bestFit="1" customWidth="1"/>
    <col min="8" max="8" width="13.83203125" style="110" bestFit="1" customWidth="1"/>
    <col min="9" max="9" width="9.08203125" style="110" bestFit="1" customWidth="1"/>
    <col min="10" max="10" width="16.33203125" style="110" bestFit="1" customWidth="1"/>
    <col min="11" max="11" width="16.08203125" style="110" bestFit="1" customWidth="1"/>
    <col min="12" max="12" width="38.83203125" style="110" bestFit="1" customWidth="1"/>
    <col min="13" max="13" width="9.5" style="110" bestFit="1" customWidth="1"/>
    <col min="14" max="14" width="13.83203125" style="110" bestFit="1" customWidth="1"/>
    <col min="15" max="15" width="18.33203125" style="110" bestFit="1" customWidth="1"/>
    <col min="16" max="16" width="65.58203125" style="110" bestFit="1" customWidth="1"/>
    <col min="17" max="17" width="9.5" style="110" bestFit="1" customWidth="1"/>
    <col min="18" max="20" width="13.83203125" style="110" bestFit="1" customWidth="1"/>
    <col min="21" max="22" width="18.08203125" style="110" bestFit="1" customWidth="1"/>
    <col min="23" max="23" width="27.25" style="110" bestFit="1" customWidth="1"/>
    <col min="24" max="24" width="13.83203125" style="110" bestFit="1" customWidth="1"/>
    <col min="25" max="25" width="18.33203125" style="110" bestFit="1" customWidth="1"/>
    <col min="26" max="27" width="15" style="110" bestFit="1" customWidth="1"/>
    <col min="28" max="28" width="31.58203125" style="110" bestFit="1" customWidth="1"/>
    <col min="29" max="29" width="29.33203125" style="110" bestFit="1" customWidth="1"/>
    <col min="30" max="16384" width="9" style="110"/>
  </cols>
  <sheetData>
    <row r="1" spans="1:29" ht="18" customHeight="1">
      <c r="A1" s="114" t="s">
        <v>146</v>
      </c>
      <c r="B1" s="114" t="s">
        <v>328</v>
      </c>
      <c r="C1" s="114" t="s">
        <v>147</v>
      </c>
      <c r="D1" s="114" t="s">
        <v>330</v>
      </c>
      <c r="E1" s="114" t="s">
        <v>148</v>
      </c>
      <c r="F1" s="114" t="s">
        <v>329</v>
      </c>
      <c r="G1" s="114" t="s">
        <v>331</v>
      </c>
      <c r="H1" s="114" t="s">
        <v>332</v>
      </c>
      <c r="I1" s="114" t="s">
        <v>333</v>
      </c>
      <c r="J1" s="114" t="s">
        <v>334</v>
      </c>
      <c r="K1" s="114" t="s">
        <v>335</v>
      </c>
      <c r="L1" s="114" t="s">
        <v>336</v>
      </c>
      <c r="M1" s="114" t="s">
        <v>337</v>
      </c>
      <c r="N1" s="114" t="s">
        <v>149</v>
      </c>
      <c r="O1" s="114" t="s">
        <v>150</v>
      </c>
      <c r="P1" s="114" t="s">
        <v>151</v>
      </c>
      <c r="Q1" s="114" t="s">
        <v>339</v>
      </c>
      <c r="R1" s="114" t="s">
        <v>338</v>
      </c>
      <c r="S1" s="114" t="s">
        <v>340</v>
      </c>
      <c r="T1" s="114" t="s">
        <v>341</v>
      </c>
      <c r="U1" s="114" t="s">
        <v>342</v>
      </c>
      <c r="V1" s="114" t="s">
        <v>342</v>
      </c>
      <c r="W1" s="114" t="s">
        <v>343</v>
      </c>
      <c r="X1" s="114" t="s">
        <v>344</v>
      </c>
      <c r="Y1" s="114" t="s">
        <v>345</v>
      </c>
      <c r="Z1" s="114" t="s">
        <v>346</v>
      </c>
      <c r="AA1" s="114" t="s">
        <v>347</v>
      </c>
      <c r="AB1" s="114" t="s">
        <v>152</v>
      </c>
      <c r="AC1" s="114" t="s">
        <v>153</v>
      </c>
    </row>
    <row r="2" spans="1:29" ht="18" customHeight="1">
      <c r="A2" s="111" t="s">
        <v>208</v>
      </c>
      <c r="B2" s="111" t="s">
        <v>316</v>
      </c>
      <c r="C2" s="112">
        <v>45474</v>
      </c>
      <c r="D2" s="111" t="s">
        <v>271</v>
      </c>
      <c r="E2" s="111"/>
      <c r="F2" s="113">
        <v>54800</v>
      </c>
      <c r="G2" s="111" t="s">
        <v>157</v>
      </c>
      <c r="H2" s="111" t="s">
        <v>272</v>
      </c>
      <c r="I2" s="111" t="s">
        <v>273</v>
      </c>
      <c r="J2" s="111" t="s">
        <v>274</v>
      </c>
      <c r="K2" s="111" t="s">
        <v>161</v>
      </c>
      <c r="L2" s="111" t="s">
        <v>275</v>
      </c>
      <c r="M2" s="111" t="s">
        <v>276</v>
      </c>
      <c r="N2" s="111" t="s">
        <v>277</v>
      </c>
      <c r="O2" s="111" t="s">
        <v>165</v>
      </c>
      <c r="P2" s="111" t="s">
        <v>278</v>
      </c>
      <c r="Q2" s="111" t="s">
        <v>167</v>
      </c>
      <c r="R2" s="111" t="s">
        <v>279</v>
      </c>
      <c r="S2" s="111" t="s">
        <v>214</v>
      </c>
      <c r="T2" s="111" t="s">
        <v>154</v>
      </c>
      <c r="U2" s="111"/>
      <c r="V2" s="111" t="s">
        <v>221</v>
      </c>
      <c r="W2" s="111" t="s">
        <v>194</v>
      </c>
      <c r="X2" s="111"/>
      <c r="Y2" s="111" t="s">
        <v>171</v>
      </c>
      <c r="Z2" s="111" t="s">
        <v>196</v>
      </c>
      <c r="AA2" s="111" t="s">
        <v>197</v>
      </c>
      <c r="AB2" s="111" t="s">
        <v>174</v>
      </c>
      <c r="AC2" s="111"/>
    </row>
    <row r="3" spans="1:29" ht="18" customHeight="1">
      <c r="A3" s="111" t="s">
        <v>155</v>
      </c>
      <c r="B3" s="111" t="s">
        <v>317</v>
      </c>
      <c r="C3" s="112">
        <v>45658</v>
      </c>
      <c r="D3" s="111" t="s">
        <v>198</v>
      </c>
      <c r="E3" s="111"/>
      <c r="F3" s="113">
        <v>42800</v>
      </c>
      <c r="G3" s="111" t="s">
        <v>199</v>
      </c>
      <c r="H3" s="111" t="s">
        <v>200</v>
      </c>
      <c r="I3" s="111" t="s">
        <v>201</v>
      </c>
      <c r="J3" s="111" t="s">
        <v>202</v>
      </c>
      <c r="K3" s="111" t="s">
        <v>161</v>
      </c>
      <c r="L3" s="111" t="s">
        <v>162</v>
      </c>
      <c r="M3" s="111" t="s">
        <v>163</v>
      </c>
      <c r="N3" s="111" t="s">
        <v>203</v>
      </c>
      <c r="O3" s="111" t="s">
        <v>165</v>
      </c>
      <c r="P3" s="111" t="s">
        <v>204</v>
      </c>
      <c r="Q3" s="111" t="s">
        <v>205</v>
      </c>
      <c r="R3" s="111" t="s">
        <v>206</v>
      </c>
      <c r="S3" s="111" t="s">
        <v>207</v>
      </c>
      <c r="T3" s="111" t="s">
        <v>154</v>
      </c>
      <c r="U3" s="111"/>
      <c r="V3" s="111"/>
      <c r="W3" s="111" t="s">
        <v>194</v>
      </c>
      <c r="X3" s="111"/>
      <c r="Y3" s="111" t="s">
        <v>195</v>
      </c>
      <c r="Z3" s="111" t="s">
        <v>196</v>
      </c>
      <c r="AA3" s="111" t="s">
        <v>197</v>
      </c>
      <c r="AB3" s="111" t="s">
        <v>174</v>
      </c>
      <c r="AC3" s="111"/>
    </row>
    <row r="4" spans="1:29" ht="18" customHeight="1">
      <c r="A4" s="111" t="s">
        <v>155</v>
      </c>
      <c r="B4" s="111" t="s">
        <v>316</v>
      </c>
      <c r="C4" s="112">
        <v>45658</v>
      </c>
      <c r="D4" s="111" t="s">
        <v>187</v>
      </c>
      <c r="E4" s="111"/>
      <c r="F4" s="113">
        <v>36800</v>
      </c>
      <c r="G4" s="111" t="s">
        <v>157</v>
      </c>
      <c r="H4" s="111" t="s">
        <v>188</v>
      </c>
      <c r="I4" s="111" t="s">
        <v>189</v>
      </c>
      <c r="J4" s="111" t="s">
        <v>178</v>
      </c>
      <c r="K4" s="111"/>
      <c r="L4" s="111"/>
      <c r="M4" s="111"/>
      <c r="N4" s="111" t="s">
        <v>190</v>
      </c>
      <c r="O4" s="111" t="s">
        <v>165</v>
      </c>
      <c r="P4" s="111" t="s">
        <v>191</v>
      </c>
      <c r="Q4" s="111" t="s">
        <v>192</v>
      </c>
      <c r="R4" s="111" t="s">
        <v>193</v>
      </c>
      <c r="S4" s="111" t="s">
        <v>169</v>
      </c>
      <c r="T4" s="111" t="s">
        <v>154</v>
      </c>
      <c r="U4" s="111"/>
      <c r="V4" s="111"/>
      <c r="W4" s="111" t="s">
        <v>194</v>
      </c>
      <c r="X4" s="111"/>
      <c r="Y4" s="111" t="s">
        <v>195</v>
      </c>
      <c r="Z4" s="111" t="s">
        <v>196</v>
      </c>
      <c r="AA4" s="111" t="s">
        <v>197</v>
      </c>
      <c r="AB4" s="111" t="s">
        <v>174</v>
      </c>
      <c r="AC4" s="111"/>
    </row>
    <row r="5" spans="1:29" ht="18" customHeight="1">
      <c r="A5" s="111" t="s">
        <v>208</v>
      </c>
      <c r="B5" s="111" t="s">
        <v>317</v>
      </c>
      <c r="C5" s="112">
        <v>45474</v>
      </c>
      <c r="D5" s="111" t="s">
        <v>280</v>
      </c>
      <c r="E5" s="111"/>
      <c r="F5" s="113">
        <v>32200</v>
      </c>
      <c r="G5" s="111" t="s">
        <v>157</v>
      </c>
      <c r="H5" s="111" t="s">
        <v>281</v>
      </c>
      <c r="I5" s="111" t="s">
        <v>282</v>
      </c>
      <c r="J5" s="111" t="s">
        <v>283</v>
      </c>
      <c r="K5" s="111" t="s">
        <v>161</v>
      </c>
      <c r="L5" s="111" t="s">
        <v>284</v>
      </c>
      <c r="M5" s="111" t="s">
        <v>163</v>
      </c>
      <c r="N5" s="111" t="s">
        <v>285</v>
      </c>
      <c r="O5" s="111" t="s">
        <v>179</v>
      </c>
      <c r="P5" s="111" t="s">
        <v>286</v>
      </c>
      <c r="Q5" s="111" t="s">
        <v>237</v>
      </c>
      <c r="R5" s="111" t="s">
        <v>287</v>
      </c>
      <c r="S5" s="111" t="s">
        <v>288</v>
      </c>
      <c r="T5" s="111" t="s">
        <v>154</v>
      </c>
      <c r="U5" s="111"/>
      <c r="V5" s="111"/>
      <c r="W5" s="111" t="s">
        <v>289</v>
      </c>
      <c r="X5" s="111"/>
      <c r="Y5" s="111"/>
      <c r="Z5" s="111" t="s">
        <v>172</v>
      </c>
      <c r="AA5" s="111" t="s">
        <v>173</v>
      </c>
      <c r="AB5" s="111" t="s">
        <v>174</v>
      </c>
      <c r="AC5" s="111"/>
    </row>
    <row r="6" spans="1:29" ht="18" customHeight="1">
      <c r="A6" s="111" t="s">
        <v>208</v>
      </c>
      <c r="B6" s="111" t="s">
        <v>322</v>
      </c>
      <c r="C6" s="112">
        <v>45474</v>
      </c>
      <c r="D6" s="111" t="s">
        <v>261</v>
      </c>
      <c r="E6" s="111"/>
      <c r="F6" s="113">
        <v>28300</v>
      </c>
      <c r="G6" s="111" t="s">
        <v>157</v>
      </c>
      <c r="H6" s="111" t="s">
        <v>217</v>
      </c>
      <c r="I6" s="111" t="s">
        <v>262</v>
      </c>
      <c r="J6" s="111" t="s">
        <v>202</v>
      </c>
      <c r="K6" s="111" t="s">
        <v>161</v>
      </c>
      <c r="L6" s="111" t="s">
        <v>162</v>
      </c>
      <c r="M6" s="111" t="s">
        <v>163</v>
      </c>
      <c r="N6" s="111" t="s">
        <v>164</v>
      </c>
      <c r="O6" s="111" t="s">
        <v>179</v>
      </c>
      <c r="P6" s="111" t="s">
        <v>263</v>
      </c>
      <c r="Q6" s="111" t="s">
        <v>264</v>
      </c>
      <c r="R6" s="111" t="s">
        <v>168</v>
      </c>
      <c r="S6" s="111" t="s">
        <v>214</v>
      </c>
      <c r="T6" s="111" t="s">
        <v>154</v>
      </c>
      <c r="U6" s="111"/>
      <c r="V6" s="111"/>
      <c r="W6" s="111" t="s">
        <v>222</v>
      </c>
      <c r="X6" s="111"/>
      <c r="Y6" s="111"/>
      <c r="Z6" s="111" t="s">
        <v>223</v>
      </c>
      <c r="AA6" s="111" t="s">
        <v>224</v>
      </c>
      <c r="AB6" s="111" t="s">
        <v>174</v>
      </c>
      <c r="AC6" s="111"/>
    </row>
    <row r="7" spans="1:29" ht="18" customHeight="1">
      <c r="A7" s="111" t="s">
        <v>155</v>
      </c>
      <c r="B7" s="111" t="s">
        <v>314</v>
      </c>
      <c r="C7" s="112">
        <v>45658</v>
      </c>
      <c r="D7" s="111" t="s">
        <v>175</v>
      </c>
      <c r="E7" s="111"/>
      <c r="F7" s="113">
        <v>24300</v>
      </c>
      <c r="G7" s="111" t="s">
        <v>157</v>
      </c>
      <c r="H7" s="111" t="s">
        <v>176</v>
      </c>
      <c r="I7" s="111" t="s">
        <v>177</v>
      </c>
      <c r="J7" s="111" t="s">
        <v>178</v>
      </c>
      <c r="K7" s="111" t="s">
        <v>161</v>
      </c>
      <c r="L7" s="111" t="s">
        <v>162</v>
      </c>
      <c r="M7" s="111" t="s">
        <v>163</v>
      </c>
      <c r="N7" s="111" t="s">
        <v>164</v>
      </c>
      <c r="O7" s="111" t="s">
        <v>179</v>
      </c>
      <c r="P7" s="111" t="s">
        <v>166</v>
      </c>
      <c r="Q7" s="111" t="s">
        <v>180</v>
      </c>
      <c r="R7" s="111" t="s">
        <v>181</v>
      </c>
      <c r="S7" s="111" t="s">
        <v>169</v>
      </c>
      <c r="T7" s="111" t="s">
        <v>154</v>
      </c>
      <c r="U7" s="111"/>
      <c r="V7" s="111"/>
      <c r="W7" s="111" t="s">
        <v>170</v>
      </c>
      <c r="X7" s="111"/>
      <c r="Y7" s="111" t="s">
        <v>171</v>
      </c>
      <c r="Z7" s="111" t="s">
        <v>172</v>
      </c>
      <c r="AA7" s="111" t="s">
        <v>173</v>
      </c>
      <c r="AB7" s="111" t="s">
        <v>174</v>
      </c>
      <c r="AC7" s="111"/>
    </row>
    <row r="8" spans="1:29" ht="18" customHeight="1">
      <c r="A8" s="111" t="s">
        <v>208</v>
      </c>
      <c r="B8" s="111" t="s">
        <v>315</v>
      </c>
      <c r="C8" s="112">
        <v>45474</v>
      </c>
      <c r="D8" s="111" t="s">
        <v>225</v>
      </c>
      <c r="E8" s="111"/>
      <c r="F8" s="113">
        <v>22000</v>
      </c>
      <c r="G8" s="111" t="s">
        <v>157</v>
      </c>
      <c r="H8" s="111" t="s">
        <v>226</v>
      </c>
      <c r="I8" s="111" t="s">
        <v>227</v>
      </c>
      <c r="J8" s="111" t="s">
        <v>228</v>
      </c>
      <c r="K8" s="111" t="s">
        <v>161</v>
      </c>
      <c r="L8" s="111" t="s">
        <v>229</v>
      </c>
      <c r="M8" s="111" t="s">
        <v>163</v>
      </c>
      <c r="N8" s="111" t="s">
        <v>164</v>
      </c>
      <c r="O8" s="111" t="s">
        <v>165</v>
      </c>
      <c r="P8" s="111" t="s">
        <v>230</v>
      </c>
      <c r="Q8" s="111" t="s">
        <v>186</v>
      </c>
      <c r="R8" s="111" t="s">
        <v>231</v>
      </c>
      <c r="S8" s="111" t="s">
        <v>214</v>
      </c>
      <c r="T8" s="111" t="s">
        <v>154</v>
      </c>
      <c r="U8" s="111"/>
      <c r="V8" s="111"/>
      <c r="W8" s="111" t="s">
        <v>232</v>
      </c>
      <c r="X8" s="111"/>
      <c r="Y8" s="111" t="s">
        <v>171</v>
      </c>
      <c r="Z8" s="111" t="s">
        <v>196</v>
      </c>
      <c r="AA8" s="111" t="s">
        <v>233</v>
      </c>
      <c r="AB8" s="111" t="s">
        <v>174</v>
      </c>
      <c r="AC8" s="111"/>
    </row>
    <row r="9" spans="1:29" ht="18" customHeight="1">
      <c r="A9" s="111" t="s">
        <v>155</v>
      </c>
      <c r="B9" s="111" t="s">
        <v>313</v>
      </c>
      <c r="C9" s="112">
        <v>45658</v>
      </c>
      <c r="D9" s="111" t="s">
        <v>156</v>
      </c>
      <c r="E9" s="111"/>
      <c r="F9" s="113">
        <v>21800</v>
      </c>
      <c r="G9" s="111" t="s">
        <v>157</v>
      </c>
      <c r="H9" s="111" t="s">
        <v>158</v>
      </c>
      <c r="I9" s="111" t="s">
        <v>159</v>
      </c>
      <c r="J9" s="111" t="s">
        <v>160</v>
      </c>
      <c r="K9" s="111" t="s">
        <v>161</v>
      </c>
      <c r="L9" s="111" t="s">
        <v>162</v>
      </c>
      <c r="M9" s="111" t="s">
        <v>163</v>
      </c>
      <c r="N9" s="111" t="s">
        <v>164</v>
      </c>
      <c r="O9" s="111" t="s">
        <v>165</v>
      </c>
      <c r="P9" s="111" t="s">
        <v>166</v>
      </c>
      <c r="Q9" s="111" t="s">
        <v>167</v>
      </c>
      <c r="R9" s="111" t="s">
        <v>168</v>
      </c>
      <c r="S9" s="111" t="s">
        <v>169</v>
      </c>
      <c r="T9" s="111" t="s">
        <v>154</v>
      </c>
      <c r="U9" s="111"/>
      <c r="V9" s="111"/>
      <c r="W9" s="111" t="s">
        <v>170</v>
      </c>
      <c r="X9" s="111"/>
      <c r="Y9" s="111" t="s">
        <v>171</v>
      </c>
      <c r="Z9" s="111" t="s">
        <v>172</v>
      </c>
      <c r="AA9" s="111" t="s">
        <v>173</v>
      </c>
      <c r="AB9" s="111" t="s">
        <v>174</v>
      </c>
      <c r="AC9" s="111"/>
    </row>
    <row r="10" spans="1:29" ht="18" customHeight="1">
      <c r="A10" s="111" t="s">
        <v>155</v>
      </c>
      <c r="B10" s="111" t="s">
        <v>315</v>
      </c>
      <c r="C10" s="112">
        <v>45658</v>
      </c>
      <c r="D10" s="111" t="s">
        <v>182</v>
      </c>
      <c r="E10" s="111"/>
      <c r="F10" s="113">
        <v>21400</v>
      </c>
      <c r="G10" s="111" t="s">
        <v>157</v>
      </c>
      <c r="H10" s="111" t="s">
        <v>183</v>
      </c>
      <c r="I10" s="111" t="s">
        <v>184</v>
      </c>
      <c r="J10" s="111" t="s">
        <v>178</v>
      </c>
      <c r="K10" s="111" t="s">
        <v>161</v>
      </c>
      <c r="L10" s="111" t="s">
        <v>162</v>
      </c>
      <c r="M10" s="111" t="s">
        <v>163</v>
      </c>
      <c r="N10" s="111" t="s">
        <v>164</v>
      </c>
      <c r="O10" s="111" t="s">
        <v>165</v>
      </c>
      <c r="P10" s="111" t="s">
        <v>185</v>
      </c>
      <c r="Q10" s="111" t="s">
        <v>186</v>
      </c>
      <c r="R10" s="111" t="s">
        <v>168</v>
      </c>
      <c r="S10" s="111" t="s">
        <v>169</v>
      </c>
      <c r="T10" s="111" t="s">
        <v>154</v>
      </c>
      <c r="U10" s="111"/>
      <c r="V10" s="111"/>
      <c r="W10" s="111" t="s">
        <v>170</v>
      </c>
      <c r="X10" s="111"/>
      <c r="Y10" s="111" t="s">
        <v>171</v>
      </c>
      <c r="Z10" s="111" t="s">
        <v>172</v>
      </c>
      <c r="AA10" s="111" t="s">
        <v>173</v>
      </c>
      <c r="AB10" s="111" t="s">
        <v>174</v>
      </c>
      <c r="AC10" s="111"/>
    </row>
    <row r="11" spans="1:29" ht="18" customHeight="1">
      <c r="A11" s="111" t="s">
        <v>208</v>
      </c>
      <c r="B11" s="111" t="s">
        <v>313</v>
      </c>
      <c r="C11" s="112">
        <v>45474</v>
      </c>
      <c r="D11" s="111" t="s">
        <v>209</v>
      </c>
      <c r="E11" s="111"/>
      <c r="F11" s="113">
        <v>17600</v>
      </c>
      <c r="G11" s="111" t="s">
        <v>157</v>
      </c>
      <c r="H11" s="111" t="s">
        <v>210</v>
      </c>
      <c r="I11" s="111" t="s">
        <v>211</v>
      </c>
      <c r="J11" s="111" t="s">
        <v>212</v>
      </c>
      <c r="K11" s="111" t="s">
        <v>161</v>
      </c>
      <c r="L11" s="111" t="s">
        <v>162</v>
      </c>
      <c r="M11" s="111" t="s">
        <v>163</v>
      </c>
      <c r="N11" s="111" t="s">
        <v>164</v>
      </c>
      <c r="O11" s="111" t="s">
        <v>179</v>
      </c>
      <c r="P11" s="111" t="s">
        <v>213</v>
      </c>
      <c r="Q11" s="111" t="s">
        <v>192</v>
      </c>
      <c r="R11" s="111" t="s">
        <v>181</v>
      </c>
      <c r="S11" s="111" t="s">
        <v>214</v>
      </c>
      <c r="T11" s="111" t="s">
        <v>154</v>
      </c>
      <c r="U11" s="111"/>
      <c r="V11" s="111"/>
      <c r="W11" s="111" t="s">
        <v>215</v>
      </c>
      <c r="X11" s="111"/>
      <c r="Y11" s="111"/>
      <c r="Z11" s="111" t="s">
        <v>172</v>
      </c>
      <c r="AA11" s="111" t="s">
        <v>173</v>
      </c>
      <c r="AB11" s="111" t="s">
        <v>174</v>
      </c>
      <c r="AC11" s="111"/>
    </row>
    <row r="12" spans="1:29" ht="18" customHeight="1">
      <c r="A12" s="111" t="s">
        <v>208</v>
      </c>
      <c r="B12" s="111" t="s">
        <v>318</v>
      </c>
      <c r="C12" s="112">
        <v>45474</v>
      </c>
      <c r="D12" s="111" t="s">
        <v>234</v>
      </c>
      <c r="E12" s="111"/>
      <c r="F12" s="113">
        <v>17500</v>
      </c>
      <c r="G12" s="111" t="s">
        <v>199</v>
      </c>
      <c r="H12" s="111" t="s">
        <v>226</v>
      </c>
      <c r="I12" s="111" t="s">
        <v>235</v>
      </c>
      <c r="J12" s="111" t="s">
        <v>178</v>
      </c>
      <c r="K12" s="111" t="s">
        <v>161</v>
      </c>
      <c r="L12" s="111" t="s">
        <v>162</v>
      </c>
      <c r="M12" s="111" t="s">
        <v>163</v>
      </c>
      <c r="N12" s="111" t="s">
        <v>164</v>
      </c>
      <c r="O12" s="111" t="s">
        <v>165</v>
      </c>
      <c r="P12" s="111" t="s">
        <v>236</v>
      </c>
      <c r="Q12" s="111" t="s">
        <v>237</v>
      </c>
      <c r="R12" s="111" t="s">
        <v>168</v>
      </c>
      <c r="S12" s="111" t="s">
        <v>214</v>
      </c>
      <c r="T12" s="111" t="s">
        <v>154</v>
      </c>
      <c r="U12" s="111"/>
      <c r="V12" s="111"/>
      <c r="W12" s="111" t="s">
        <v>222</v>
      </c>
      <c r="X12" s="111"/>
      <c r="Y12" s="111"/>
      <c r="Z12" s="111" t="s">
        <v>223</v>
      </c>
      <c r="AA12" s="111" t="s">
        <v>224</v>
      </c>
      <c r="AB12" s="111" t="s">
        <v>174</v>
      </c>
      <c r="AC12" s="111"/>
    </row>
    <row r="13" spans="1:29" ht="18" customHeight="1">
      <c r="A13" s="111" t="s">
        <v>208</v>
      </c>
      <c r="B13" s="111" t="s">
        <v>314</v>
      </c>
      <c r="C13" s="112">
        <v>45474</v>
      </c>
      <c r="D13" s="111" t="s">
        <v>216</v>
      </c>
      <c r="E13" s="111"/>
      <c r="F13" s="113">
        <v>15900</v>
      </c>
      <c r="G13" s="111" t="s">
        <v>157</v>
      </c>
      <c r="H13" s="111" t="s">
        <v>217</v>
      </c>
      <c r="I13" s="111" t="s">
        <v>218</v>
      </c>
      <c r="J13" s="111" t="s">
        <v>178</v>
      </c>
      <c r="K13" s="111" t="s">
        <v>161</v>
      </c>
      <c r="L13" s="111" t="s">
        <v>162</v>
      </c>
      <c r="M13" s="111" t="s">
        <v>163</v>
      </c>
      <c r="N13" s="111" t="s">
        <v>164</v>
      </c>
      <c r="O13" s="111" t="s">
        <v>165</v>
      </c>
      <c r="P13" s="111" t="s">
        <v>219</v>
      </c>
      <c r="Q13" s="111" t="s">
        <v>180</v>
      </c>
      <c r="R13" s="111" t="s">
        <v>220</v>
      </c>
      <c r="S13" s="111" t="s">
        <v>214</v>
      </c>
      <c r="T13" s="111" t="s">
        <v>154</v>
      </c>
      <c r="U13" s="111"/>
      <c r="V13" s="111" t="s">
        <v>221</v>
      </c>
      <c r="W13" s="111" t="s">
        <v>222</v>
      </c>
      <c r="X13" s="111"/>
      <c r="Y13" s="111"/>
      <c r="Z13" s="111" t="s">
        <v>223</v>
      </c>
      <c r="AA13" s="111" t="s">
        <v>224</v>
      </c>
      <c r="AB13" s="111" t="s">
        <v>174</v>
      </c>
      <c r="AC13" s="111"/>
    </row>
    <row r="14" spans="1:29" ht="18" customHeight="1">
      <c r="A14" s="111" t="s">
        <v>208</v>
      </c>
      <c r="B14" s="111" t="s">
        <v>327</v>
      </c>
      <c r="C14" s="112">
        <v>45474</v>
      </c>
      <c r="D14" s="111" t="s">
        <v>305</v>
      </c>
      <c r="E14" s="111"/>
      <c r="F14" s="113">
        <v>8400</v>
      </c>
      <c r="G14" s="111" t="s">
        <v>157</v>
      </c>
      <c r="H14" s="111" t="s">
        <v>306</v>
      </c>
      <c r="I14" s="111" t="s">
        <v>307</v>
      </c>
      <c r="J14" s="111" t="s">
        <v>308</v>
      </c>
      <c r="K14" s="111" t="s">
        <v>161</v>
      </c>
      <c r="L14" s="111" t="s">
        <v>309</v>
      </c>
      <c r="M14" s="111"/>
      <c r="N14" s="111" t="s">
        <v>310</v>
      </c>
      <c r="O14" s="111" t="s">
        <v>179</v>
      </c>
      <c r="P14" s="111" t="s">
        <v>311</v>
      </c>
      <c r="Q14" s="111" t="s">
        <v>186</v>
      </c>
      <c r="R14" s="111" t="s">
        <v>312</v>
      </c>
      <c r="S14" s="111" t="s">
        <v>214</v>
      </c>
      <c r="T14" s="111" t="s">
        <v>154</v>
      </c>
      <c r="U14" s="111"/>
      <c r="V14" s="111"/>
      <c r="W14" s="111" t="s">
        <v>289</v>
      </c>
      <c r="X14" s="111"/>
      <c r="Y14" s="111"/>
      <c r="Z14" s="111" t="s">
        <v>172</v>
      </c>
      <c r="AA14" s="111" t="s">
        <v>173</v>
      </c>
      <c r="AB14" s="111" t="s">
        <v>174</v>
      </c>
      <c r="AC14" s="111"/>
    </row>
    <row r="15" spans="1:29" ht="18" customHeight="1">
      <c r="A15" s="111" t="s">
        <v>208</v>
      </c>
      <c r="B15" s="111" t="s">
        <v>326</v>
      </c>
      <c r="C15" s="112">
        <v>45474</v>
      </c>
      <c r="D15" s="111" t="s">
        <v>442</v>
      </c>
      <c r="E15" s="111"/>
      <c r="F15" s="113">
        <v>8250</v>
      </c>
      <c r="G15" s="111" t="s">
        <v>266</v>
      </c>
      <c r="H15" s="111" t="s">
        <v>300</v>
      </c>
      <c r="I15" s="111" t="s">
        <v>301</v>
      </c>
      <c r="J15" s="111" t="s">
        <v>283</v>
      </c>
      <c r="K15" s="111" t="s">
        <v>161</v>
      </c>
      <c r="L15" s="111" t="s">
        <v>284</v>
      </c>
      <c r="M15" s="111" t="s">
        <v>302</v>
      </c>
      <c r="N15" s="111" t="s">
        <v>285</v>
      </c>
      <c r="O15" s="111" t="s">
        <v>165</v>
      </c>
      <c r="P15" s="111" t="s">
        <v>303</v>
      </c>
      <c r="Q15" s="111" t="s">
        <v>264</v>
      </c>
      <c r="R15" s="111" t="s">
        <v>168</v>
      </c>
      <c r="S15" s="111" t="s">
        <v>214</v>
      </c>
      <c r="T15" s="111" t="s">
        <v>154</v>
      </c>
      <c r="U15" s="111" t="s">
        <v>304</v>
      </c>
      <c r="V15" s="111" t="s">
        <v>270</v>
      </c>
      <c r="W15" s="111" t="s">
        <v>245</v>
      </c>
      <c r="X15" s="111"/>
      <c r="Y15" s="111"/>
      <c r="Z15" s="111" t="s">
        <v>246</v>
      </c>
      <c r="AA15" s="111" t="s">
        <v>246</v>
      </c>
      <c r="AB15" s="111" t="s">
        <v>247</v>
      </c>
      <c r="AC15" s="111"/>
    </row>
    <row r="16" spans="1:29" ht="18" customHeight="1">
      <c r="A16" s="111" t="s">
        <v>208</v>
      </c>
      <c r="B16" s="111" t="s">
        <v>324</v>
      </c>
      <c r="C16" s="112">
        <v>45474</v>
      </c>
      <c r="D16" s="111" t="s">
        <v>290</v>
      </c>
      <c r="E16" s="111"/>
      <c r="F16" s="113">
        <v>8000</v>
      </c>
      <c r="G16" s="111" t="s">
        <v>239</v>
      </c>
      <c r="H16" s="111" t="s">
        <v>291</v>
      </c>
      <c r="I16" s="111" t="s">
        <v>292</v>
      </c>
      <c r="J16" s="111" t="s">
        <v>178</v>
      </c>
      <c r="K16" s="111" t="s">
        <v>161</v>
      </c>
      <c r="L16" s="111" t="s">
        <v>162</v>
      </c>
      <c r="M16" s="111" t="s">
        <v>163</v>
      </c>
      <c r="N16" s="111" t="s">
        <v>203</v>
      </c>
      <c r="O16" s="111" t="s">
        <v>165</v>
      </c>
      <c r="P16" s="111" t="s">
        <v>293</v>
      </c>
      <c r="Q16" s="111" t="s">
        <v>237</v>
      </c>
      <c r="R16" s="111" t="s">
        <v>294</v>
      </c>
      <c r="S16" s="111" t="s">
        <v>214</v>
      </c>
      <c r="T16" s="111" t="s">
        <v>154</v>
      </c>
      <c r="U16" s="111"/>
      <c r="V16" s="111"/>
      <c r="W16" s="111" t="s">
        <v>245</v>
      </c>
      <c r="X16" s="111"/>
      <c r="Y16" s="111"/>
      <c r="Z16" s="111" t="s">
        <v>246</v>
      </c>
      <c r="AA16" s="111" t="s">
        <v>246</v>
      </c>
      <c r="AB16" s="111" t="s">
        <v>247</v>
      </c>
      <c r="AC16" s="111"/>
    </row>
    <row r="17" spans="1:29" ht="18" customHeight="1">
      <c r="A17" s="111" t="s">
        <v>208</v>
      </c>
      <c r="B17" s="111" t="s">
        <v>325</v>
      </c>
      <c r="C17" s="112">
        <v>45474</v>
      </c>
      <c r="D17" s="111" t="s">
        <v>295</v>
      </c>
      <c r="E17" s="111"/>
      <c r="F17" s="113">
        <v>7000</v>
      </c>
      <c r="G17" s="111" t="s">
        <v>199</v>
      </c>
      <c r="H17" s="111" t="s">
        <v>296</v>
      </c>
      <c r="I17" s="111" t="s">
        <v>297</v>
      </c>
      <c r="J17" s="111" t="s">
        <v>283</v>
      </c>
      <c r="K17" s="111" t="s">
        <v>161</v>
      </c>
      <c r="L17" s="111" t="s">
        <v>162</v>
      </c>
      <c r="M17" s="111" t="s">
        <v>163</v>
      </c>
      <c r="N17" s="111" t="s">
        <v>298</v>
      </c>
      <c r="O17" s="111" t="s">
        <v>165</v>
      </c>
      <c r="P17" s="111" t="s">
        <v>299</v>
      </c>
      <c r="Q17" s="111" t="s">
        <v>205</v>
      </c>
      <c r="R17" s="111" t="s">
        <v>253</v>
      </c>
      <c r="S17" s="111" t="s">
        <v>254</v>
      </c>
      <c r="T17" s="111" t="s">
        <v>154</v>
      </c>
      <c r="U17" s="111"/>
      <c r="V17" s="111" t="s">
        <v>221</v>
      </c>
      <c r="W17" s="111" t="s">
        <v>245</v>
      </c>
      <c r="X17" s="111"/>
      <c r="Y17" s="111"/>
      <c r="Z17" s="111" t="s">
        <v>246</v>
      </c>
      <c r="AA17" s="111" t="s">
        <v>246</v>
      </c>
      <c r="AB17" s="111" t="s">
        <v>247</v>
      </c>
      <c r="AC17" s="111"/>
    </row>
    <row r="18" spans="1:29" ht="18" customHeight="1">
      <c r="A18" s="111" t="s">
        <v>208</v>
      </c>
      <c r="B18" s="111" t="s">
        <v>323</v>
      </c>
      <c r="C18" s="112">
        <v>45474</v>
      </c>
      <c r="D18" s="111" t="s">
        <v>265</v>
      </c>
      <c r="E18" s="111"/>
      <c r="F18" s="113">
        <v>6050</v>
      </c>
      <c r="G18" s="111" t="s">
        <v>266</v>
      </c>
      <c r="H18" s="111" t="s">
        <v>240</v>
      </c>
      <c r="I18" s="111" t="s">
        <v>267</v>
      </c>
      <c r="J18" s="111" t="s">
        <v>268</v>
      </c>
      <c r="K18" s="111" t="s">
        <v>161</v>
      </c>
      <c r="L18" s="111" t="s">
        <v>162</v>
      </c>
      <c r="M18" s="111" t="s">
        <v>163</v>
      </c>
      <c r="N18" s="111" t="s">
        <v>164</v>
      </c>
      <c r="O18" s="111" t="s">
        <v>165</v>
      </c>
      <c r="P18" s="111" t="s">
        <v>269</v>
      </c>
      <c r="Q18" s="111" t="s">
        <v>180</v>
      </c>
      <c r="R18" s="111" t="s">
        <v>244</v>
      </c>
      <c r="S18" s="111" t="s">
        <v>214</v>
      </c>
      <c r="T18" s="111" t="s">
        <v>154</v>
      </c>
      <c r="U18" s="111" t="s">
        <v>237</v>
      </c>
      <c r="V18" s="111" t="s">
        <v>270</v>
      </c>
      <c r="W18" s="111" t="s">
        <v>245</v>
      </c>
      <c r="X18" s="111"/>
      <c r="Y18" s="111"/>
      <c r="Z18" s="111" t="s">
        <v>246</v>
      </c>
      <c r="AA18" s="111" t="s">
        <v>246</v>
      </c>
      <c r="AB18" s="111" t="s">
        <v>247</v>
      </c>
      <c r="AC18" s="111"/>
    </row>
    <row r="19" spans="1:29" ht="18" customHeight="1">
      <c r="A19" s="111" t="s">
        <v>208</v>
      </c>
      <c r="B19" s="111" t="s">
        <v>319</v>
      </c>
      <c r="C19" s="112">
        <v>45474</v>
      </c>
      <c r="D19" s="111" t="s">
        <v>238</v>
      </c>
      <c r="E19" s="111"/>
      <c r="F19" s="113">
        <v>5450</v>
      </c>
      <c r="G19" s="111" t="s">
        <v>239</v>
      </c>
      <c r="H19" s="111" t="s">
        <v>240</v>
      </c>
      <c r="I19" s="111" t="s">
        <v>241</v>
      </c>
      <c r="J19" s="111" t="s">
        <v>242</v>
      </c>
      <c r="K19" s="111" t="s">
        <v>161</v>
      </c>
      <c r="L19" s="111" t="s">
        <v>162</v>
      </c>
      <c r="M19" s="111" t="s">
        <v>163</v>
      </c>
      <c r="N19" s="111" t="s">
        <v>164</v>
      </c>
      <c r="O19" s="111" t="s">
        <v>165</v>
      </c>
      <c r="P19" s="111" t="s">
        <v>243</v>
      </c>
      <c r="Q19" s="111" t="s">
        <v>192</v>
      </c>
      <c r="R19" s="111" t="s">
        <v>244</v>
      </c>
      <c r="S19" s="111" t="s">
        <v>214</v>
      </c>
      <c r="T19" s="111" t="s">
        <v>154</v>
      </c>
      <c r="U19" s="111"/>
      <c r="V19" s="111"/>
      <c r="W19" s="111" t="s">
        <v>245</v>
      </c>
      <c r="X19" s="111"/>
      <c r="Y19" s="111"/>
      <c r="Z19" s="111" t="s">
        <v>246</v>
      </c>
      <c r="AA19" s="111" t="s">
        <v>246</v>
      </c>
      <c r="AB19" s="111" t="s">
        <v>247</v>
      </c>
      <c r="AC19" s="111"/>
    </row>
    <row r="20" spans="1:29" ht="18" customHeight="1">
      <c r="A20" s="111" t="s">
        <v>208</v>
      </c>
      <c r="B20" s="111" t="s">
        <v>320</v>
      </c>
      <c r="C20" s="112">
        <v>45474</v>
      </c>
      <c r="D20" s="111" t="s">
        <v>248</v>
      </c>
      <c r="E20" s="111"/>
      <c r="F20" s="113">
        <v>5200</v>
      </c>
      <c r="G20" s="111" t="s">
        <v>249</v>
      </c>
      <c r="H20" s="111" t="s">
        <v>250</v>
      </c>
      <c r="I20" s="111" t="s">
        <v>251</v>
      </c>
      <c r="J20" s="111" t="s">
        <v>178</v>
      </c>
      <c r="K20" s="111" t="s">
        <v>161</v>
      </c>
      <c r="L20" s="111" t="s">
        <v>229</v>
      </c>
      <c r="M20" s="111" t="s">
        <v>163</v>
      </c>
      <c r="N20" s="111" t="s">
        <v>164</v>
      </c>
      <c r="O20" s="111" t="s">
        <v>165</v>
      </c>
      <c r="P20" s="111" t="s">
        <v>252</v>
      </c>
      <c r="Q20" s="111" t="s">
        <v>180</v>
      </c>
      <c r="R20" s="111" t="s">
        <v>253</v>
      </c>
      <c r="S20" s="111" t="s">
        <v>254</v>
      </c>
      <c r="T20" s="111" t="s">
        <v>154</v>
      </c>
      <c r="U20" s="111"/>
      <c r="V20" s="111"/>
      <c r="W20" s="111" t="s">
        <v>245</v>
      </c>
      <c r="X20" s="111"/>
      <c r="Y20" s="111"/>
      <c r="Z20" s="111" t="s">
        <v>246</v>
      </c>
      <c r="AA20" s="111" t="s">
        <v>246</v>
      </c>
      <c r="AB20" s="111" t="s">
        <v>247</v>
      </c>
      <c r="AC20" s="111"/>
    </row>
    <row r="21" spans="1:29" ht="18" customHeight="1">
      <c r="A21" s="111" t="s">
        <v>208</v>
      </c>
      <c r="B21" s="111" t="s">
        <v>321</v>
      </c>
      <c r="C21" s="112">
        <v>45474</v>
      </c>
      <c r="D21" s="111" t="s">
        <v>255</v>
      </c>
      <c r="E21" s="111"/>
      <c r="F21" s="113">
        <v>4850</v>
      </c>
      <c r="G21" s="111" t="s">
        <v>199</v>
      </c>
      <c r="H21" s="111" t="s">
        <v>256</v>
      </c>
      <c r="I21" s="111" t="s">
        <v>257</v>
      </c>
      <c r="J21" s="111" t="s">
        <v>258</v>
      </c>
      <c r="K21" s="111" t="s">
        <v>161</v>
      </c>
      <c r="L21" s="111" t="s">
        <v>162</v>
      </c>
      <c r="M21" s="111" t="s">
        <v>163</v>
      </c>
      <c r="N21" s="111" t="s">
        <v>164</v>
      </c>
      <c r="O21" s="111" t="s">
        <v>165</v>
      </c>
      <c r="P21" s="111" t="s">
        <v>259</v>
      </c>
      <c r="Q21" s="111" t="s">
        <v>237</v>
      </c>
      <c r="R21" s="111" t="s">
        <v>260</v>
      </c>
      <c r="S21" s="111" t="s">
        <v>254</v>
      </c>
      <c r="T21" s="111" t="s">
        <v>154</v>
      </c>
      <c r="U21" s="111"/>
      <c r="V21" s="111"/>
      <c r="W21" s="111" t="s">
        <v>245</v>
      </c>
      <c r="X21" s="111"/>
      <c r="Y21" s="111"/>
      <c r="Z21" s="111" t="s">
        <v>246</v>
      </c>
      <c r="AA21" s="111" t="s">
        <v>246</v>
      </c>
      <c r="AB21" s="111" t="s">
        <v>247</v>
      </c>
      <c r="AC21" s="111"/>
    </row>
  </sheetData>
  <autoFilter ref="A1:AC1" xr:uid="{9A5112EC-FA77-41DB-8D95-58302D0A318A}">
    <sortState xmlns:xlrd2="http://schemas.microsoft.com/office/spreadsheetml/2017/richdata2" ref="A2:AC21">
      <sortCondition descending="1" ref="F1"/>
    </sortState>
  </autoFilter>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vt:i4>
      </vt:variant>
    </vt:vector>
  </HeadingPairs>
  <TitlesOfParts>
    <vt:vector size="7" baseType="lpstr">
      <vt:lpstr>家賃シミュレーションシート</vt:lpstr>
      <vt:lpstr>所得計算</vt:lpstr>
      <vt:lpstr>家賃計算</vt:lpstr>
      <vt:lpstr>近傍同種　木造都計外</vt:lpstr>
      <vt:lpstr>近傍同種　S造都計外</vt:lpstr>
      <vt:lpstr>近傍同種　RC造都計内</vt:lpstr>
      <vt:lpstr>地価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柴田 淳志</dc:creator>
  <cp:lastModifiedBy>南部　聡</cp:lastModifiedBy>
  <dcterms:created xsi:type="dcterms:W3CDTF">2025-07-16T12:13:34Z</dcterms:created>
  <dcterms:modified xsi:type="dcterms:W3CDTF">2025-09-22T08:11:06Z</dcterms:modified>
</cp:coreProperties>
</file>